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7250" windowHeight="5775"/>
  </bookViews>
  <sheets>
    <sheet name="eingabe" sheetId="2" r:id="rId1"/>
    <sheet name="mathe" sheetId="3" state="hidden" r:id="rId2"/>
  </sheets>
  <definedNames>
    <definedName name="_xlnm.Print_Area" localSheetId="0">eingabe!$A$1:$J$38</definedName>
    <definedName name="istsumm">OFFSET(mathe!$S$8,0,0,mathe!$D$3,1)</definedName>
    <definedName name="jahre">OFFSET(mathe!$R$9,0,0,mathe!$D$3,1)</definedName>
    <definedName name="var1summ">OFFSET(mathe!$T$8,0,0,mathe!$D$3,1)</definedName>
    <definedName name="var2summ">OFFSET(mathe!$U$8,0,0,mathe!$D$3,1)</definedName>
    <definedName name="var3summ">OFFSET(mathe!$V$8,0,0,mathe!$D$3,1)</definedName>
  </definedNames>
  <calcPr calcId="162913"/>
</workbook>
</file>

<file path=xl/calcChain.xml><?xml version="1.0" encoding="utf-8"?>
<calcChain xmlns="http://schemas.openxmlformats.org/spreadsheetml/2006/main">
  <c r="C29" i="2" l="1"/>
  <c r="C12" i="2"/>
  <c r="M8" i="3" l="1"/>
  <c r="J8" i="3"/>
  <c r="I8" i="3" l="1"/>
  <c r="D3" i="3"/>
  <c r="D2" i="3"/>
  <c r="A9" i="3" l="1"/>
  <c r="F9" i="3" s="1"/>
  <c r="N8" i="3"/>
  <c r="O8" i="3" s="1"/>
  <c r="K8" i="3"/>
  <c r="L8" i="3" s="1"/>
  <c r="H8" i="3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L9" i="3"/>
  <c r="O9" i="3"/>
  <c r="I9" i="3"/>
  <c r="O10" i="3" l="1"/>
  <c r="O11" i="3" s="1"/>
  <c r="L10" i="3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L41" i="3" s="1"/>
  <c r="L42" i="3" s="1"/>
  <c r="L43" i="3" s="1"/>
  <c r="L44" i="3" s="1"/>
  <c r="L45" i="3" s="1"/>
  <c r="L46" i="3" s="1"/>
  <c r="L47" i="3" s="1"/>
  <c r="L48" i="3" s="1"/>
  <c r="L49" i="3" s="1"/>
  <c r="L50" i="3" s="1"/>
  <c r="L51" i="3" s="1"/>
  <c r="L52" i="3" s="1"/>
  <c r="L53" i="3" s="1"/>
  <c r="L54" i="3" s="1"/>
  <c r="L55" i="3" s="1"/>
  <c r="L56" i="3" s="1"/>
  <c r="L57" i="3" s="1"/>
  <c r="L58" i="3" s="1"/>
  <c r="F10" i="3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I10" i="3"/>
  <c r="I11" i="3" s="1"/>
  <c r="J9" i="3" l="1"/>
  <c r="U9" i="3" s="1"/>
  <c r="U8" i="3"/>
  <c r="O12" i="3"/>
  <c r="I12" i="3"/>
  <c r="D8" i="3"/>
  <c r="N9" i="3"/>
  <c r="N10" i="3" s="1"/>
  <c r="N11" i="3" s="1"/>
  <c r="N12" i="3" s="1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N26" i="3" s="1"/>
  <c r="N27" i="3" s="1"/>
  <c r="N28" i="3" s="1"/>
  <c r="N29" i="3" s="1"/>
  <c r="N30" i="3" s="1"/>
  <c r="N31" i="3" s="1"/>
  <c r="N32" i="3" s="1"/>
  <c r="N33" i="3" s="1"/>
  <c r="N34" i="3" s="1"/>
  <c r="N35" i="3" s="1"/>
  <c r="N36" i="3" s="1"/>
  <c r="N37" i="3" s="1"/>
  <c r="N38" i="3" s="1"/>
  <c r="N39" i="3" s="1"/>
  <c r="N40" i="3" s="1"/>
  <c r="N41" i="3" s="1"/>
  <c r="N42" i="3" s="1"/>
  <c r="N43" i="3" s="1"/>
  <c r="N44" i="3" s="1"/>
  <c r="N45" i="3" s="1"/>
  <c r="N46" i="3" s="1"/>
  <c r="N47" i="3" s="1"/>
  <c r="N48" i="3" s="1"/>
  <c r="N49" i="3" s="1"/>
  <c r="N50" i="3" s="1"/>
  <c r="N51" i="3" s="1"/>
  <c r="N52" i="3" s="1"/>
  <c r="N53" i="3" s="1"/>
  <c r="N54" i="3" s="1"/>
  <c r="N55" i="3" s="1"/>
  <c r="N56" i="3" s="1"/>
  <c r="N57" i="3" s="1"/>
  <c r="N58" i="3" s="1"/>
  <c r="V8" i="3"/>
  <c r="K9" i="3"/>
  <c r="E8" i="3"/>
  <c r="G8" i="3"/>
  <c r="T8" i="3" s="1"/>
  <c r="D9" i="3" l="1"/>
  <c r="S8" i="3"/>
  <c r="J10" i="3"/>
  <c r="U10" i="3" s="1"/>
  <c r="O13" i="3"/>
  <c r="I13" i="3"/>
  <c r="E9" i="3"/>
  <c r="F8" i="3"/>
  <c r="M9" i="3"/>
  <c r="V9" i="3" s="1"/>
  <c r="G9" i="3"/>
  <c r="T9" i="3" s="1"/>
  <c r="K10" i="3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K49" i="3" s="1"/>
  <c r="K50" i="3" s="1"/>
  <c r="K51" i="3" s="1"/>
  <c r="K52" i="3" s="1"/>
  <c r="K53" i="3" s="1"/>
  <c r="K54" i="3" s="1"/>
  <c r="K55" i="3" s="1"/>
  <c r="K56" i="3" s="1"/>
  <c r="K57" i="3" s="1"/>
  <c r="K58" i="3" s="1"/>
  <c r="H9" i="3"/>
  <c r="H10" i="3" s="1"/>
  <c r="J11" i="3" l="1"/>
  <c r="U11" i="3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D10" i="3"/>
  <c r="S9" i="3"/>
  <c r="O14" i="3"/>
  <c r="I14" i="3"/>
  <c r="M10" i="3"/>
  <c r="V10" i="3" s="1"/>
  <c r="J12" i="3"/>
  <c r="U12" i="3" s="1"/>
  <c r="G10" i="3"/>
  <c r="T10" i="3" s="1"/>
  <c r="W8" i="3"/>
  <c r="H11" i="3"/>
  <c r="S10" i="3" l="1"/>
  <c r="D11" i="3"/>
  <c r="O15" i="3"/>
  <c r="I15" i="3"/>
  <c r="W9" i="3"/>
  <c r="M11" i="3"/>
  <c r="V11" i="3" s="1"/>
  <c r="J13" i="3"/>
  <c r="U13" i="3" s="1"/>
  <c r="G11" i="3"/>
  <c r="T11" i="3" s="1"/>
  <c r="H12" i="3"/>
  <c r="S11" i="3" l="1"/>
  <c r="D12" i="3"/>
  <c r="O16" i="3"/>
  <c r="I16" i="3"/>
  <c r="W10" i="3"/>
  <c r="M12" i="3"/>
  <c r="V12" i="3" s="1"/>
  <c r="J14" i="3"/>
  <c r="U14" i="3" s="1"/>
  <c r="G12" i="3"/>
  <c r="T12" i="3" s="1"/>
  <c r="H13" i="3"/>
  <c r="S12" i="3" l="1"/>
  <c r="D13" i="3"/>
  <c r="O17" i="3"/>
  <c r="I17" i="3"/>
  <c r="W11" i="3"/>
  <c r="M13" i="3"/>
  <c r="V13" i="3" s="1"/>
  <c r="J15" i="3"/>
  <c r="U15" i="3" s="1"/>
  <c r="G13" i="3"/>
  <c r="T13" i="3" s="1"/>
  <c r="H14" i="3"/>
  <c r="S13" i="3" l="1"/>
  <c r="D14" i="3"/>
  <c r="O18" i="3"/>
  <c r="I18" i="3"/>
  <c r="W12" i="3"/>
  <c r="M14" i="3"/>
  <c r="V14" i="3" s="1"/>
  <c r="J16" i="3"/>
  <c r="U16" i="3" s="1"/>
  <c r="G14" i="3"/>
  <c r="T14" i="3" s="1"/>
  <c r="H15" i="3"/>
  <c r="S14" i="3" l="1"/>
  <c r="D15" i="3"/>
  <c r="O19" i="3"/>
  <c r="I19" i="3"/>
  <c r="W13" i="3"/>
  <c r="M15" i="3"/>
  <c r="V15" i="3" s="1"/>
  <c r="J17" i="3"/>
  <c r="U17" i="3" s="1"/>
  <c r="G15" i="3"/>
  <c r="T15" i="3" s="1"/>
  <c r="H16" i="3"/>
  <c r="S15" i="3" l="1"/>
  <c r="D16" i="3"/>
  <c r="O20" i="3"/>
  <c r="I20" i="3"/>
  <c r="W14" i="3"/>
  <c r="M16" i="3"/>
  <c r="V16" i="3" s="1"/>
  <c r="J18" i="3"/>
  <c r="U18" i="3" s="1"/>
  <c r="G16" i="3"/>
  <c r="T16" i="3" s="1"/>
  <c r="H17" i="3"/>
  <c r="S16" i="3" l="1"/>
  <c r="D17" i="3"/>
  <c r="O21" i="3"/>
  <c r="I21" i="3"/>
  <c r="W15" i="3"/>
  <c r="M17" i="3"/>
  <c r="V17" i="3" s="1"/>
  <c r="J19" i="3"/>
  <c r="U19" i="3" s="1"/>
  <c r="G17" i="3"/>
  <c r="T17" i="3" s="1"/>
  <c r="H18" i="3"/>
  <c r="S17" i="3" l="1"/>
  <c r="D18" i="3"/>
  <c r="O22" i="3"/>
  <c r="I22" i="3"/>
  <c r="W16" i="3"/>
  <c r="M18" i="3"/>
  <c r="V18" i="3" s="1"/>
  <c r="J20" i="3"/>
  <c r="U20" i="3" s="1"/>
  <c r="G18" i="3"/>
  <c r="T18" i="3" s="1"/>
  <c r="H19" i="3"/>
  <c r="S18" i="3" l="1"/>
  <c r="D19" i="3"/>
  <c r="O23" i="3"/>
  <c r="I23" i="3"/>
  <c r="W17" i="3"/>
  <c r="M19" i="3"/>
  <c r="V19" i="3" s="1"/>
  <c r="J21" i="3"/>
  <c r="U21" i="3" s="1"/>
  <c r="G19" i="3"/>
  <c r="T19" i="3" s="1"/>
  <c r="H20" i="3"/>
  <c r="S19" i="3" l="1"/>
  <c r="D20" i="3"/>
  <c r="O24" i="3"/>
  <c r="I24" i="3"/>
  <c r="W18" i="3"/>
  <c r="M20" i="3"/>
  <c r="V20" i="3" s="1"/>
  <c r="J22" i="3"/>
  <c r="U22" i="3" s="1"/>
  <c r="G20" i="3"/>
  <c r="T20" i="3" s="1"/>
  <c r="H21" i="3"/>
  <c r="S20" i="3" l="1"/>
  <c r="D21" i="3"/>
  <c r="O25" i="3"/>
  <c r="I25" i="3"/>
  <c r="W19" i="3"/>
  <c r="M21" i="3"/>
  <c r="V21" i="3" s="1"/>
  <c r="J23" i="3"/>
  <c r="U23" i="3" s="1"/>
  <c r="G21" i="3"/>
  <c r="T21" i="3" s="1"/>
  <c r="H22" i="3"/>
  <c r="S21" i="3" l="1"/>
  <c r="D22" i="3"/>
  <c r="O26" i="3"/>
  <c r="I26" i="3"/>
  <c r="W20" i="3"/>
  <c r="M22" i="3"/>
  <c r="V22" i="3" s="1"/>
  <c r="J24" i="3"/>
  <c r="U24" i="3" s="1"/>
  <c r="G22" i="3"/>
  <c r="T22" i="3" s="1"/>
  <c r="H23" i="3"/>
  <c r="S22" i="3" l="1"/>
  <c r="D23" i="3"/>
  <c r="O27" i="3"/>
  <c r="I27" i="3"/>
  <c r="W21" i="3"/>
  <c r="M23" i="3"/>
  <c r="V23" i="3" s="1"/>
  <c r="J25" i="3"/>
  <c r="U25" i="3" s="1"/>
  <c r="G23" i="3"/>
  <c r="T23" i="3" s="1"/>
  <c r="H24" i="3"/>
  <c r="S23" i="3" l="1"/>
  <c r="D24" i="3"/>
  <c r="O28" i="3"/>
  <c r="I28" i="3"/>
  <c r="W22" i="3"/>
  <c r="M24" i="3"/>
  <c r="V24" i="3" s="1"/>
  <c r="J26" i="3"/>
  <c r="U26" i="3" s="1"/>
  <c r="G24" i="3"/>
  <c r="T24" i="3" s="1"/>
  <c r="H25" i="3"/>
  <c r="S24" i="3" l="1"/>
  <c r="D25" i="3"/>
  <c r="O29" i="3"/>
  <c r="I29" i="3"/>
  <c r="W23" i="3"/>
  <c r="M25" i="3"/>
  <c r="V25" i="3" s="1"/>
  <c r="J27" i="3"/>
  <c r="U27" i="3" s="1"/>
  <c r="G25" i="3"/>
  <c r="T25" i="3" s="1"/>
  <c r="H26" i="3"/>
  <c r="S25" i="3" l="1"/>
  <c r="D26" i="3"/>
  <c r="O30" i="3"/>
  <c r="I30" i="3"/>
  <c r="W24" i="3"/>
  <c r="M26" i="3"/>
  <c r="V26" i="3" s="1"/>
  <c r="J28" i="3"/>
  <c r="U28" i="3" s="1"/>
  <c r="G26" i="3"/>
  <c r="T26" i="3" s="1"/>
  <c r="H27" i="3"/>
  <c r="S26" i="3" l="1"/>
  <c r="D27" i="3"/>
  <c r="O31" i="3"/>
  <c r="I31" i="3"/>
  <c r="W25" i="3"/>
  <c r="M27" i="3"/>
  <c r="V27" i="3" s="1"/>
  <c r="J29" i="3"/>
  <c r="U29" i="3" s="1"/>
  <c r="G27" i="3"/>
  <c r="T27" i="3" s="1"/>
  <c r="H28" i="3"/>
  <c r="S27" i="3" l="1"/>
  <c r="D28" i="3"/>
  <c r="O32" i="3"/>
  <c r="I32" i="3"/>
  <c r="W26" i="3"/>
  <c r="M28" i="3"/>
  <c r="V28" i="3" s="1"/>
  <c r="J30" i="3"/>
  <c r="U30" i="3" s="1"/>
  <c r="G28" i="3"/>
  <c r="T28" i="3" s="1"/>
  <c r="H29" i="3"/>
  <c r="S28" i="3" l="1"/>
  <c r="D29" i="3"/>
  <c r="O33" i="3"/>
  <c r="I33" i="3"/>
  <c r="W27" i="3"/>
  <c r="M29" i="3"/>
  <c r="V29" i="3" s="1"/>
  <c r="J31" i="3"/>
  <c r="U31" i="3" s="1"/>
  <c r="G29" i="3"/>
  <c r="T29" i="3" s="1"/>
  <c r="H30" i="3"/>
  <c r="S29" i="3" l="1"/>
  <c r="D30" i="3"/>
  <c r="O34" i="3"/>
  <c r="I34" i="3"/>
  <c r="W28" i="3"/>
  <c r="M30" i="3"/>
  <c r="V30" i="3" s="1"/>
  <c r="J32" i="3"/>
  <c r="U32" i="3" s="1"/>
  <c r="G30" i="3"/>
  <c r="T30" i="3" s="1"/>
  <c r="H31" i="3"/>
  <c r="S30" i="3" l="1"/>
  <c r="D31" i="3"/>
  <c r="O35" i="3"/>
  <c r="I35" i="3"/>
  <c r="W29" i="3"/>
  <c r="M31" i="3"/>
  <c r="V31" i="3" s="1"/>
  <c r="J33" i="3"/>
  <c r="U33" i="3" s="1"/>
  <c r="G31" i="3"/>
  <c r="T31" i="3" s="1"/>
  <c r="H32" i="3"/>
  <c r="S31" i="3" l="1"/>
  <c r="D32" i="3"/>
  <c r="O36" i="3"/>
  <c r="I36" i="3"/>
  <c r="W30" i="3"/>
  <c r="M32" i="3"/>
  <c r="V32" i="3" s="1"/>
  <c r="J34" i="3"/>
  <c r="U34" i="3" s="1"/>
  <c r="G32" i="3"/>
  <c r="T32" i="3" s="1"/>
  <c r="H33" i="3"/>
  <c r="S32" i="3" l="1"/>
  <c r="D33" i="3"/>
  <c r="O37" i="3"/>
  <c r="I37" i="3"/>
  <c r="W31" i="3"/>
  <c r="M33" i="3"/>
  <c r="V33" i="3" s="1"/>
  <c r="J35" i="3"/>
  <c r="U35" i="3" s="1"/>
  <c r="G33" i="3"/>
  <c r="T33" i="3" s="1"/>
  <c r="H34" i="3"/>
  <c r="S33" i="3" l="1"/>
  <c r="D34" i="3"/>
  <c r="O38" i="3"/>
  <c r="I38" i="3"/>
  <c r="W32" i="3"/>
  <c r="M34" i="3"/>
  <c r="V34" i="3" s="1"/>
  <c r="J36" i="3"/>
  <c r="U36" i="3" s="1"/>
  <c r="G34" i="3"/>
  <c r="T34" i="3" s="1"/>
  <c r="H35" i="3"/>
  <c r="S34" i="3" l="1"/>
  <c r="W34" i="3" s="1"/>
  <c r="D35" i="3"/>
  <c r="O39" i="3"/>
  <c r="I39" i="3"/>
  <c r="W33" i="3"/>
  <c r="M35" i="3"/>
  <c r="V35" i="3" s="1"/>
  <c r="J37" i="3"/>
  <c r="U37" i="3" s="1"/>
  <c r="F29" i="2" s="1"/>
  <c r="G35" i="3"/>
  <c r="T35" i="3" s="1"/>
  <c r="H36" i="3"/>
  <c r="S35" i="3" l="1"/>
  <c r="D36" i="3"/>
  <c r="O40" i="3"/>
  <c r="I40" i="3"/>
  <c r="M36" i="3"/>
  <c r="V36" i="3" s="1"/>
  <c r="J38" i="3"/>
  <c r="U38" i="3" s="1"/>
  <c r="G36" i="3"/>
  <c r="T36" i="3" s="1"/>
  <c r="H37" i="3"/>
  <c r="S36" i="3" l="1"/>
  <c r="W36" i="3" s="1"/>
  <c r="D37" i="3"/>
  <c r="O41" i="3"/>
  <c r="I41" i="3"/>
  <c r="W35" i="3"/>
  <c r="M37" i="3"/>
  <c r="V37" i="3" s="1"/>
  <c r="H29" i="2" s="1"/>
  <c r="J39" i="3"/>
  <c r="U39" i="3" s="1"/>
  <c r="G37" i="3"/>
  <c r="T37" i="3" s="1"/>
  <c r="D29" i="2" s="1"/>
  <c r="H38" i="3"/>
  <c r="S37" i="3" l="1"/>
  <c r="D12" i="2" s="1"/>
  <c r="D38" i="3"/>
  <c r="O42" i="3"/>
  <c r="I42" i="3"/>
  <c r="M38" i="3"/>
  <c r="V38" i="3" s="1"/>
  <c r="J40" i="3"/>
  <c r="U40" i="3" s="1"/>
  <c r="G38" i="3"/>
  <c r="T38" i="3" s="1"/>
  <c r="H39" i="3"/>
  <c r="S38" i="3" l="1"/>
  <c r="D39" i="3"/>
  <c r="O43" i="3"/>
  <c r="I43" i="3"/>
  <c r="W37" i="3"/>
  <c r="M39" i="3"/>
  <c r="V39" i="3" s="1"/>
  <c r="J41" i="3"/>
  <c r="U41" i="3" s="1"/>
  <c r="G39" i="3"/>
  <c r="T39" i="3" s="1"/>
  <c r="H40" i="3"/>
  <c r="S39" i="3" l="1"/>
  <c r="W39" i="3" s="1"/>
  <c r="D40" i="3"/>
  <c r="O44" i="3"/>
  <c r="I44" i="3"/>
  <c r="W38" i="3"/>
  <c r="W4" i="3" s="1"/>
  <c r="M40" i="3"/>
  <c r="V40" i="3" s="1"/>
  <c r="J42" i="3"/>
  <c r="U42" i="3" s="1"/>
  <c r="G40" i="3"/>
  <c r="T40" i="3" s="1"/>
  <c r="H41" i="3"/>
  <c r="S40" i="3" l="1"/>
  <c r="D41" i="3"/>
  <c r="O45" i="3"/>
  <c r="I45" i="3"/>
  <c r="M41" i="3"/>
  <c r="V41" i="3" s="1"/>
  <c r="J43" i="3"/>
  <c r="U43" i="3" s="1"/>
  <c r="G41" i="3"/>
  <c r="T41" i="3" s="1"/>
  <c r="H42" i="3"/>
  <c r="S41" i="3" l="1"/>
  <c r="D42" i="3"/>
  <c r="O46" i="3"/>
  <c r="I46" i="3"/>
  <c r="W40" i="3"/>
  <c r="M42" i="3"/>
  <c r="V42" i="3" s="1"/>
  <c r="J44" i="3"/>
  <c r="U44" i="3" s="1"/>
  <c r="G42" i="3"/>
  <c r="T42" i="3" s="1"/>
  <c r="H43" i="3"/>
  <c r="S42" i="3" l="1"/>
  <c r="D43" i="3"/>
  <c r="O47" i="3"/>
  <c r="I47" i="3"/>
  <c r="W41" i="3"/>
  <c r="M43" i="3"/>
  <c r="V43" i="3" s="1"/>
  <c r="J45" i="3"/>
  <c r="U45" i="3" s="1"/>
  <c r="G43" i="3"/>
  <c r="T43" i="3" s="1"/>
  <c r="H44" i="3"/>
  <c r="S43" i="3" l="1"/>
  <c r="D44" i="3"/>
  <c r="O48" i="3"/>
  <c r="I48" i="3"/>
  <c r="W42" i="3"/>
  <c r="M44" i="3"/>
  <c r="V44" i="3" s="1"/>
  <c r="J46" i="3"/>
  <c r="U46" i="3" s="1"/>
  <c r="G44" i="3"/>
  <c r="T44" i="3" s="1"/>
  <c r="H45" i="3"/>
  <c r="S44" i="3" l="1"/>
  <c r="D45" i="3"/>
  <c r="O49" i="3"/>
  <c r="I49" i="3"/>
  <c r="W43" i="3"/>
  <c r="M45" i="3"/>
  <c r="V45" i="3" s="1"/>
  <c r="J47" i="3"/>
  <c r="U47" i="3" s="1"/>
  <c r="G45" i="3"/>
  <c r="T45" i="3" s="1"/>
  <c r="H46" i="3"/>
  <c r="S45" i="3" l="1"/>
  <c r="D46" i="3"/>
  <c r="O50" i="3"/>
  <c r="I50" i="3"/>
  <c r="W44" i="3"/>
  <c r="M46" i="3"/>
  <c r="V46" i="3" s="1"/>
  <c r="J48" i="3"/>
  <c r="U48" i="3" s="1"/>
  <c r="G46" i="3"/>
  <c r="T46" i="3" s="1"/>
  <c r="H47" i="3"/>
  <c r="S46" i="3" l="1"/>
  <c r="D47" i="3"/>
  <c r="O51" i="3"/>
  <c r="I51" i="3"/>
  <c r="W45" i="3"/>
  <c r="M47" i="3"/>
  <c r="V47" i="3" s="1"/>
  <c r="J49" i="3"/>
  <c r="U49" i="3" s="1"/>
  <c r="G47" i="3"/>
  <c r="T47" i="3" s="1"/>
  <c r="H48" i="3"/>
  <c r="S47" i="3" l="1"/>
  <c r="D48" i="3"/>
  <c r="O52" i="3"/>
  <c r="I52" i="3"/>
  <c r="W46" i="3"/>
  <c r="M48" i="3"/>
  <c r="V48" i="3" s="1"/>
  <c r="J50" i="3"/>
  <c r="U50" i="3" s="1"/>
  <c r="G48" i="3"/>
  <c r="T48" i="3" s="1"/>
  <c r="H49" i="3"/>
  <c r="S48" i="3" l="1"/>
  <c r="D49" i="3"/>
  <c r="O53" i="3"/>
  <c r="I53" i="3"/>
  <c r="W47" i="3"/>
  <c r="M49" i="3"/>
  <c r="V49" i="3" s="1"/>
  <c r="J51" i="3"/>
  <c r="U51" i="3" s="1"/>
  <c r="G49" i="3"/>
  <c r="T49" i="3" s="1"/>
  <c r="H50" i="3"/>
  <c r="S49" i="3" l="1"/>
  <c r="D50" i="3"/>
  <c r="O54" i="3"/>
  <c r="I54" i="3"/>
  <c r="W48" i="3"/>
  <c r="M50" i="3"/>
  <c r="V50" i="3" s="1"/>
  <c r="J52" i="3"/>
  <c r="U52" i="3" s="1"/>
  <c r="G50" i="3"/>
  <c r="T50" i="3" s="1"/>
  <c r="H51" i="3"/>
  <c r="S50" i="3" l="1"/>
  <c r="D51" i="3"/>
  <c r="O55" i="3"/>
  <c r="I55" i="3"/>
  <c r="W49" i="3"/>
  <c r="M51" i="3"/>
  <c r="V51" i="3" s="1"/>
  <c r="J53" i="3"/>
  <c r="U53" i="3" s="1"/>
  <c r="G51" i="3"/>
  <c r="T51" i="3" s="1"/>
  <c r="H52" i="3"/>
  <c r="S51" i="3" l="1"/>
  <c r="D52" i="3"/>
  <c r="O56" i="3"/>
  <c r="I56" i="3"/>
  <c r="W50" i="3"/>
  <c r="M52" i="3"/>
  <c r="V52" i="3" s="1"/>
  <c r="J54" i="3"/>
  <c r="U54" i="3" s="1"/>
  <c r="G52" i="3"/>
  <c r="T52" i="3" s="1"/>
  <c r="H53" i="3"/>
  <c r="S52" i="3" l="1"/>
  <c r="D53" i="3"/>
  <c r="O57" i="3"/>
  <c r="I57" i="3"/>
  <c r="W51" i="3"/>
  <c r="M53" i="3"/>
  <c r="V53" i="3" s="1"/>
  <c r="J55" i="3"/>
  <c r="U55" i="3" s="1"/>
  <c r="G53" i="3"/>
  <c r="T53" i="3" s="1"/>
  <c r="H54" i="3"/>
  <c r="S53" i="3" l="1"/>
  <c r="D54" i="3"/>
  <c r="O58" i="3"/>
  <c r="I58" i="3"/>
  <c r="W52" i="3"/>
  <c r="M54" i="3"/>
  <c r="V54" i="3" s="1"/>
  <c r="J56" i="3"/>
  <c r="U56" i="3" s="1"/>
  <c r="G54" i="3"/>
  <c r="T54" i="3" s="1"/>
  <c r="H55" i="3"/>
  <c r="S54" i="3" l="1"/>
  <c r="D55" i="3"/>
  <c r="W53" i="3"/>
  <c r="M55" i="3"/>
  <c r="V55" i="3" s="1"/>
  <c r="J57" i="3"/>
  <c r="U57" i="3" s="1"/>
  <c r="G55" i="3"/>
  <c r="T55" i="3" s="1"/>
  <c r="H56" i="3"/>
  <c r="S55" i="3" l="1"/>
  <c r="D56" i="3"/>
  <c r="W54" i="3"/>
  <c r="M56" i="3"/>
  <c r="V56" i="3" s="1"/>
  <c r="J58" i="3"/>
  <c r="U58" i="3" s="1"/>
  <c r="G56" i="3"/>
  <c r="T56" i="3" s="1"/>
  <c r="H57" i="3"/>
  <c r="S56" i="3" l="1"/>
  <c r="D57" i="3"/>
  <c r="W55" i="3"/>
  <c r="M57" i="3"/>
  <c r="V57" i="3" s="1"/>
  <c r="G57" i="3"/>
  <c r="T57" i="3" s="1"/>
  <c r="H58" i="3"/>
  <c r="S57" i="3" l="1"/>
  <c r="D58" i="3"/>
  <c r="S58" i="3" s="1"/>
  <c r="W56" i="3"/>
  <c r="M58" i="3"/>
  <c r="V58" i="3" s="1"/>
  <c r="G58" i="3"/>
  <c r="T58" i="3" s="1"/>
  <c r="W58" i="3" l="1"/>
  <c r="W57" i="3"/>
</calcChain>
</file>

<file path=xl/comments1.xml><?xml version="1.0" encoding="utf-8"?>
<comments xmlns="http://schemas.openxmlformats.org/spreadsheetml/2006/main">
  <authors>
    <author>Autor</author>
  </authors>
  <commentList>
    <comment ref="D14" authorId="0" shapeId="0">
      <text>
        <r>
          <rPr>
            <sz val="9"/>
            <color indexed="81"/>
            <rFont val="Segoe UI"/>
            <family val="2"/>
          </rPr>
          <t xml:space="preserve">Zahlen zwischen 5 und 50 Jahren ergeben Sinn.
</t>
        </r>
      </text>
    </comment>
    <comment ref="D16" authorId="0" shapeId="0">
      <text>
        <r>
          <rPr>
            <sz val="9"/>
            <color indexed="81"/>
            <rFont val="Segoe UI"/>
            <family val="2"/>
          </rPr>
          <t xml:space="preserve">um diesen Anteil [%] werdern Energie, Wartung, Servicegebühren, Wartungsanfälligkeit, … jährlich teurer.
0 ≈ </t>
        </r>
        <r>
          <rPr>
            <sz val="8"/>
            <color indexed="81"/>
            <rFont val="Segoe UI"/>
            <family val="2"/>
          </rPr>
          <t>KEINE</t>
        </r>
        <r>
          <rPr>
            <sz val="9"/>
            <color indexed="81"/>
            <rFont val="Segoe UI"/>
            <family val="2"/>
          </rPr>
          <t xml:space="preserve"> Teuerung</t>
        </r>
      </text>
    </comment>
  </commentList>
</comments>
</file>

<file path=xl/sharedStrings.xml><?xml version="1.0" encoding="utf-8"?>
<sst xmlns="http://schemas.openxmlformats.org/spreadsheetml/2006/main" count="116" uniqueCount="75">
  <si>
    <t>Jahr</t>
  </si>
  <si>
    <t>–</t>
  </si>
  <si>
    <t>Golf 4, 30.000 km/Jahr; 11,1 l / 100 km</t>
  </si>
  <si>
    <t>Benzin+Ersatzteile+Wartung ≈ 6000€/Jahr</t>
  </si>
  <si>
    <t>Lebenserwartung noch 4 Jahre</t>
  </si>
  <si>
    <t>Gebrauchtwagen ≈ 10.000 €</t>
  </si>
  <si>
    <t>Benzin+Wartung ≈ 4500 € /Jahr (geschätzt)</t>
  </si>
  <si>
    <t>Ich brauch 1 Auto, das mindestens 10 Jahre hält</t>
  </si>
  <si>
    <t>1 kleines neues Elektroauto + Wallbox</t>
  </si>
  <si>
    <t>22.000 € (Auto) + 2900 (Wallbox)</t>
  </si>
  <si>
    <t>10 Jahre (Erwartung)</t>
  </si>
  <si>
    <t>A</t>
  </si>
  <si>
    <t>a</t>
  </si>
  <si>
    <t>b</t>
  </si>
  <si>
    <t>c</t>
  </si>
  <si>
    <t>d</t>
  </si>
  <si>
    <t>e</t>
  </si>
  <si>
    <t>C</t>
  </si>
  <si>
    <t>Beschreibe den Ist-Zustand</t>
  </si>
  <si>
    <t>Was kostet der Ist-Zustand im Jahr</t>
  </si>
  <si>
    <t>Wie lange hält er noch bis nix mehr geht</t>
  </si>
  <si>
    <t>Kosten (–) oder Restpreis (+) bei Entsorgung</t>
  </si>
  <si>
    <t>Was kaufst du als Ersatz nach Lebensende?</t>
  </si>
  <si>
    <t>↑ Welche Betriebskosten bringt dieser Ersatz?</t>
  </si>
  <si>
    <t>Benenne deinen Betrachtungshorizont</t>
  </si>
  <si>
    <t>Beschreibe für jede Alternative zum Ist-Zustand:</t>
  </si>
  <si>
    <t>Name der Alternative</t>
  </si>
  <si>
    <t>Anschaffungspreis</t>
  </si>
  <si>
    <t>erwartete jährliche Kosten</t>
  </si>
  <si>
    <t>eventuelle Erlöse (z.B. bei PV-Anlage)</t>
  </si>
  <si>
    <t>erwartete Lebensdauer</t>
  </si>
  <si>
    <t>Was?</t>
  </si>
  <si>
    <t>Wert?</t>
  </si>
  <si>
    <t>Anmerkung?</t>
  </si>
  <si>
    <t>Alternative 1</t>
  </si>
  <si>
    <t>evtl. Alternative 2</t>
  </si>
  <si>
    <t>evtl.Alternative 3</t>
  </si>
  <si>
    <t>Invest</t>
  </si>
  <si>
    <t>Betrieb</t>
  </si>
  <si>
    <t>Ist</t>
  </si>
  <si>
    <t>Var1</t>
  </si>
  <si>
    <t>Var2</t>
  </si>
  <si>
    <t>Var3</t>
  </si>
  <si>
    <t>f</t>
  </si>
  <si>
    <t>Restwert nach Lebensdauer</t>
  </si>
  <si>
    <t>Wiederverkaufswert 2500 €</t>
  </si>
  <si>
    <r>
      <t>t</t>
    </r>
    <r>
      <rPr>
        <vertAlign val="subscript"/>
        <sz val="11"/>
        <color theme="1"/>
        <rFont val="Calibri"/>
        <family val="2"/>
        <scheme val="minor"/>
      </rPr>
      <t>Leb</t>
    </r>
  </si>
  <si>
    <t>Akkumulation</t>
  </si>
  <si>
    <t>akkumlierte Summen</t>
  </si>
  <si>
    <t>↑ Wie lange überlebt dieser Ersatz?</t>
  </si>
  <si>
    <t>max?</t>
  </si>
  <si>
    <t>↓ ist an?</t>
  </si>
  <si>
    <t>↓ max y-achse</t>
  </si>
  <si>
    <t>Ist-Zustand</t>
  </si>
  <si>
    <t>Alternativen</t>
  </si>
  <si>
    <t>Wert</t>
  </si>
  <si>
    <t>Beschreibung</t>
  </si>
  <si>
    <t>g</t>
  </si>
  <si>
    <t>[wird automatisch errechnet]</t>
  </si>
  <si>
    <t>B1</t>
  </si>
  <si>
    <t>Teuerungsrate auf Betriebskosten?</t>
  </si>
  <si>
    <t>B2</t>
  </si>
  <si>
    <t>τ</t>
  </si>
  <si>
    <r>
      <t xml:space="preserve">Betrieb + </t>
    </r>
    <r>
      <rPr>
        <sz val="11"/>
        <color theme="1"/>
        <rFont val="Calibri"/>
        <family val="2"/>
      </rPr>
      <t>τ</t>
    </r>
  </si>
  <si>
    <t>Verkauf an "Gebrauchtwagenhändler"</t>
  </si>
  <si>
    <t>ElektroAuto JP</t>
  </si>
  <si>
    <t>ElektroAuto aus EU</t>
  </si>
  <si>
    <t>ElektroAuto US</t>
  </si>
  <si>
    <t>Strom+Ersatzteile+Wartung ≈ 4000€/Jahr</t>
  </si>
  <si>
    <t>Strom+Ersatzteile+Wartung ≈ 5200€/Jahr</t>
  </si>
  <si>
    <t>Strom+Ersatzteile+Wartung ≈ 3800€/Jahr</t>
  </si>
  <si>
    <t>Wiederverkaufswert 4100 €</t>
  </si>
  <si>
    <t>Wiederverkaufswert 3200 €</t>
  </si>
  <si>
    <r>
      <t>(</t>
    </r>
    <r>
      <rPr>
        <sz val="9"/>
        <color theme="1"/>
        <rFont val="Calibri"/>
        <family val="2"/>
        <scheme val="minor"/>
      </rPr>
      <t>KEIN</t>
    </r>
    <r>
      <rPr>
        <sz val="11"/>
        <color theme="1"/>
        <rFont val="Calibri"/>
        <family val="2"/>
        <scheme val="minor"/>
      </rPr>
      <t xml:space="preserve"> Invest)</t>
    </r>
  </si>
  <si>
    <t>Anforderung: 10 Jahre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</si>
</sst>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164" formatCode="00&quot; Jahre&quot;"/>
    <numFmt numFmtId="165" formatCode="0&quot; Jahre&quot;"/>
    <numFmt numFmtId="166" formatCode="#,##0&quot; €/Jahr&quot;"/>
    <numFmt numFmtId="167" formatCode="#,##0&quot; €&quot;"/>
    <numFmt numFmtId="168" formatCode="_-* #,##0\ &quot;€&quot;_-;\-* #,##0\ &quot;€&quot;_-;_-* &quot;-&quot;??\ &quot;€&quot;_-;_-@_-"/>
    <numFmt numFmtId="169" formatCode="0.0&quot; %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6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sz val="11"/>
      <color rgb="FF7030A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8"/>
      <color indexed="81"/>
      <name val="Segoe UI"/>
      <family val="2"/>
    </font>
    <font>
      <sz val="9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gray125">
        <fgColor theme="4"/>
        <bgColor theme="4" tint="0.79995117038483843"/>
      </patternFill>
    </fill>
    <fill>
      <patternFill patternType="gray125">
        <fgColor theme="5"/>
        <bgColor theme="5" tint="0.79995117038483843"/>
      </patternFill>
    </fill>
    <fill>
      <patternFill patternType="gray125">
        <fgColor theme="6"/>
        <bgColor theme="6" tint="0.79995117038483843"/>
      </patternFill>
    </fill>
    <fill>
      <patternFill patternType="gray125">
        <fgColor theme="3"/>
        <bgColor theme="0" tint="-4.9989318521683403E-2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theme="4"/>
      </right>
      <top style="thin">
        <color auto="1"/>
      </top>
      <bottom/>
      <diagonal/>
    </border>
    <border>
      <left/>
      <right style="thin">
        <color theme="4"/>
      </right>
      <top/>
      <bottom style="thin">
        <color auto="1"/>
      </bottom>
      <diagonal/>
    </border>
    <border>
      <left style="thin">
        <color theme="4"/>
      </left>
      <right/>
      <top style="thin">
        <color auto="1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5"/>
      </left>
      <right/>
      <top/>
      <bottom style="thin">
        <color theme="5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theme="4"/>
      </left>
      <right/>
      <top style="thin">
        <color theme="4"/>
      </top>
      <bottom style="thin">
        <color auto="1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auto="1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theme="5"/>
      </left>
      <right/>
      <top style="thin">
        <color theme="5"/>
      </top>
      <bottom style="thin">
        <color auto="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0" fontId="0" fillId="2" borderId="3" xfId="0" applyFill="1" applyBorder="1" applyAlignment="1">
      <alignment horizontal="right" vertical="center"/>
    </xf>
    <xf numFmtId="49" fontId="0" fillId="2" borderId="0" xfId="0" applyNumberFormat="1" applyFill="1" applyAlignment="1">
      <alignment vertical="center"/>
    </xf>
    <xf numFmtId="0" fontId="0" fillId="2" borderId="2" xfId="0" applyFill="1" applyBorder="1" applyAlignment="1">
      <alignment horizontal="left" vertical="center" indent="1"/>
    </xf>
    <xf numFmtId="0" fontId="0" fillId="2" borderId="5" xfId="0" applyFill="1" applyBorder="1" applyAlignment="1">
      <alignment horizontal="left" vertical="center" indent="1"/>
    </xf>
    <xf numFmtId="0" fontId="11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0" fillId="3" borderId="13" xfId="0" applyFill="1" applyBorder="1" applyAlignment="1"/>
    <xf numFmtId="0" fontId="0" fillId="3" borderId="14" xfId="0" applyFill="1" applyBorder="1" applyAlignment="1"/>
    <xf numFmtId="0" fontId="0" fillId="3" borderId="15" xfId="0" applyFill="1" applyBorder="1" applyAlignment="1"/>
    <xf numFmtId="0" fontId="0" fillId="3" borderId="18" xfId="0" applyFill="1" applyBorder="1" applyAlignment="1"/>
    <xf numFmtId="0" fontId="0" fillId="3" borderId="19" xfId="0" applyFill="1" applyBorder="1" applyAlignment="1"/>
    <xf numFmtId="0" fontId="11" fillId="3" borderId="18" xfId="0" applyFont="1" applyFill="1" applyBorder="1" applyAlignment="1"/>
    <xf numFmtId="0" fontId="11" fillId="3" borderId="19" xfId="0" applyFont="1" applyFill="1" applyBorder="1" applyAlignment="1"/>
    <xf numFmtId="0" fontId="9" fillId="3" borderId="18" xfId="0" applyFont="1" applyFill="1" applyBorder="1" applyAlignment="1"/>
    <xf numFmtId="0" fontId="9" fillId="3" borderId="19" xfId="0" applyFont="1" applyFill="1" applyBorder="1" applyAlignment="1"/>
    <xf numFmtId="0" fontId="10" fillId="3" borderId="18" xfId="0" applyFont="1" applyFill="1" applyBorder="1" applyAlignment="1"/>
    <xf numFmtId="0" fontId="10" fillId="3" borderId="19" xfId="0" applyFont="1" applyFill="1" applyBorder="1" applyAlignment="1"/>
    <xf numFmtId="0" fontId="11" fillId="3" borderId="16" xfId="0" applyFont="1" applyFill="1" applyBorder="1" applyAlignment="1"/>
    <xf numFmtId="0" fontId="9" fillId="3" borderId="16" xfId="0" applyFont="1" applyFill="1" applyBorder="1" applyAlignment="1"/>
    <xf numFmtId="0" fontId="10" fillId="3" borderId="16" xfId="0" applyFont="1" applyFill="1" applyBorder="1" applyAlignment="1"/>
    <xf numFmtId="0" fontId="0" fillId="4" borderId="21" xfId="0" applyFill="1" applyBorder="1" applyAlignment="1"/>
    <xf numFmtId="0" fontId="0" fillId="4" borderId="16" xfId="0" applyFill="1" applyBorder="1" applyAlignment="1">
      <alignment horizontal="centerContinuous"/>
    </xf>
    <xf numFmtId="0" fontId="0" fillId="4" borderId="17" xfId="0" applyFill="1" applyBorder="1" applyAlignment="1">
      <alignment horizontal="centerContinuous"/>
    </xf>
    <xf numFmtId="0" fontId="11" fillId="4" borderId="16" xfId="0" applyFont="1" applyFill="1" applyBorder="1" applyAlignment="1">
      <alignment horizontal="centerContinuous"/>
    </xf>
    <xf numFmtId="0" fontId="11" fillId="4" borderId="17" xfId="0" applyFont="1" applyFill="1" applyBorder="1" applyAlignment="1">
      <alignment horizontal="centerContinuous"/>
    </xf>
    <xf numFmtId="0" fontId="9" fillId="4" borderId="16" xfId="0" applyFont="1" applyFill="1" applyBorder="1" applyAlignment="1">
      <alignment horizontal="centerContinuous"/>
    </xf>
    <xf numFmtId="0" fontId="9" fillId="4" borderId="17" xfId="0" applyFont="1" applyFill="1" applyBorder="1" applyAlignment="1">
      <alignment horizontal="centerContinuous"/>
    </xf>
    <xf numFmtId="0" fontId="10" fillId="4" borderId="16" xfId="0" applyFont="1" applyFill="1" applyBorder="1" applyAlignment="1">
      <alignment horizontal="centerContinuous"/>
    </xf>
    <xf numFmtId="0" fontId="10" fillId="4" borderId="17" xfId="0" applyFont="1" applyFill="1" applyBorder="1" applyAlignment="1">
      <alignment horizontal="centerContinuous"/>
    </xf>
    <xf numFmtId="0" fontId="0" fillId="4" borderId="22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10" fillId="9" borderId="12" xfId="0" applyFont="1" applyFill="1" applyBorder="1" applyAlignment="1">
      <alignment horizontal="centerContinuous"/>
    </xf>
    <xf numFmtId="0" fontId="2" fillId="9" borderId="10" xfId="0" applyFont="1" applyFill="1" applyBorder="1" applyAlignment="1">
      <alignment horizontal="centerContinuous" vertical="center"/>
    </xf>
    <xf numFmtId="0" fontId="2" fillId="9" borderId="11" xfId="0" applyFont="1" applyFill="1" applyBorder="1" applyAlignment="1">
      <alignment horizontal="centerContinuous"/>
    </xf>
    <xf numFmtId="0" fontId="8" fillId="9" borderId="11" xfId="0" applyFont="1" applyFill="1" applyBorder="1" applyAlignment="1">
      <alignment horizontal="centerContinuous"/>
    </xf>
    <xf numFmtId="0" fontId="7" fillId="9" borderId="11" xfId="0" applyFont="1" applyFill="1" applyBorder="1" applyAlignment="1">
      <alignment horizontal="centerContinuous"/>
    </xf>
    <xf numFmtId="0" fontId="6" fillId="9" borderId="11" xfId="0" applyFont="1" applyFill="1" applyBorder="1" applyAlignment="1">
      <alignment horizontal="centerContinuous"/>
    </xf>
    <xf numFmtId="168" fontId="0" fillId="3" borderId="16" xfId="1" applyNumberFormat="1" applyFont="1" applyFill="1" applyBorder="1" applyAlignment="1"/>
    <xf numFmtId="168" fontId="11" fillId="3" borderId="16" xfId="1" applyNumberFormat="1" applyFont="1" applyFill="1" applyBorder="1" applyAlignment="1"/>
    <xf numFmtId="168" fontId="9" fillId="3" borderId="16" xfId="1" applyNumberFormat="1" applyFont="1" applyFill="1" applyBorder="1" applyAlignment="1"/>
    <xf numFmtId="168" fontId="0" fillId="3" borderId="18" xfId="1" applyNumberFormat="1" applyFont="1" applyFill="1" applyBorder="1" applyAlignment="1"/>
    <xf numFmtId="168" fontId="11" fillId="3" borderId="18" xfId="1" applyNumberFormat="1" applyFont="1" applyFill="1" applyBorder="1" applyAlignment="1"/>
    <xf numFmtId="168" fontId="9" fillId="3" borderId="18" xfId="1" applyNumberFormat="1" applyFont="1" applyFill="1" applyBorder="1" applyAlignment="1"/>
    <xf numFmtId="168" fontId="0" fillId="3" borderId="19" xfId="1" applyNumberFormat="1" applyFont="1" applyFill="1" applyBorder="1" applyAlignment="1"/>
    <xf numFmtId="168" fontId="11" fillId="3" borderId="19" xfId="1" applyNumberFormat="1" applyFont="1" applyFill="1" applyBorder="1" applyAlignment="1"/>
    <xf numFmtId="168" fontId="9" fillId="3" borderId="19" xfId="1" applyNumberFormat="1" applyFont="1" applyFill="1" applyBorder="1" applyAlignment="1"/>
    <xf numFmtId="0" fontId="4" fillId="2" borderId="0" xfId="0" applyFont="1" applyFill="1"/>
    <xf numFmtId="0" fontId="6" fillId="9" borderId="12" xfId="0" applyFont="1" applyFill="1" applyBorder="1" applyAlignment="1">
      <alignment horizontal="centerContinuous"/>
    </xf>
    <xf numFmtId="0" fontId="10" fillId="4" borderId="23" xfId="0" applyFont="1" applyFill="1" applyBorder="1" applyAlignment="1">
      <alignment horizontal="centerContinuous"/>
    </xf>
    <xf numFmtId="0" fontId="10" fillId="4" borderId="24" xfId="0" applyFont="1" applyFill="1" applyBorder="1" applyAlignment="1">
      <alignment horizontal="center"/>
    </xf>
    <xf numFmtId="168" fontId="10" fillId="3" borderId="23" xfId="1" applyNumberFormat="1" applyFont="1" applyFill="1" applyBorder="1" applyAlignment="1"/>
    <xf numFmtId="168" fontId="10" fillId="3" borderId="25" xfId="1" applyNumberFormat="1" applyFont="1" applyFill="1" applyBorder="1" applyAlignment="1"/>
    <xf numFmtId="168" fontId="10" fillId="3" borderId="26" xfId="1" applyNumberFormat="1" applyFont="1" applyFill="1" applyBorder="1" applyAlignme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8" fontId="4" fillId="2" borderId="0" xfId="0" applyNumberFormat="1" applyFont="1" applyFill="1"/>
    <xf numFmtId="0" fontId="2" fillId="13" borderId="3" xfId="0" applyFont="1" applyFill="1" applyBorder="1" applyAlignment="1">
      <alignment horizontal="centerContinuous" vertical="center"/>
    </xf>
    <xf numFmtId="0" fontId="0" fillId="13" borderId="5" xfId="0" applyFill="1" applyBorder="1" applyAlignment="1">
      <alignment horizontal="centerContinuous" vertical="center"/>
    </xf>
    <xf numFmtId="164" fontId="0" fillId="13" borderId="5" xfId="0" applyNumberFormat="1" applyFill="1" applyBorder="1" applyAlignment="1">
      <alignment horizontal="centerContinuous" vertical="center"/>
    </xf>
    <xf numFmtId="49" fontId="0" fillId="13" borderId="5" xfId="0" applyNumberFormat="1" applyFill="1" applyBorder="1" applyAlignment="1">
      <alignment horizontal="centerContinuous" vertical="center"/>
    </xf>
    <xf numFmtId="0" fontId="2" fillId="13" borderId="5" xfId="0" applyFont="1" applyFill="1" applyBorder="1" applyAlignment="1">
      <alignment horizontal="centerContinuous" vertical="center"/>
    </xf>
    <xf numFmtId="0" fontId="2" fillId="13" borderId="2" xfId="0" applyFont="1" applyFill="1" applyBorder="1" applyAlignment="1">
      <alignment horizontal="centerContinuous" vertical="center"/>
    </xf>
    <xf numFmtId="167" fontId="0" fillId="5" borderId="4" xfId="0" applyNumberFormat="1" applyFill="1" applyBorder="1" applyAlignment="1" applyProtection="1">
      <alignment horizontal="right" vertical="center" indent="1"/>
      <protection locked="0"/>
    </xf>
    <xf numFmtId="166" fontId="0" fillId="5" borderId="4" xfId="0" applyNumberFormat="1" applyFill="1" applyBorder="1" applyAlignment="1" applyProtection="1">
      <alignment horizontal="right" vertical="center" indent="1"/>
      <protection locked="0"/>
    </xf>
    <xf numFmtId="165" fontId="0" fillId="5" borderId="4" xfId="0" applyNumberFormat="1" applyFill="1" applyBorder="1" applyAlignment="1" applyProtection="1">
      <alignment horizontal="right" vertical="center" indent="1"/>
      <protection locked="0"/>
    </xf>
    <xf numFmtId="49" fontId="3" fillId="5" borderId="7" xfId="0" applyNumberFormat="1" applyFont="1" applyFill="1" applyBorder="1" applyAlignment="1" applyProtection="1">
      <alignment horizontal="left" vertical="center" indent="1"/>
      <protection locked="0"/>
    </xf>
    <xf numFmtId="167" fontId="0" fillId="6" borderId="6" xfId="0" applyNumberFormat="1" applyFill="1" applyBorder="1" applyAlignment="1" applyProtection="1">
      <alignment horizontal="right" vertical="center" indent="1"/>
      <protection locked="0"/>
    </xf>
    <xf numFmtId="166" fontId="0" fillId="6" borderId="6" xfId="0" applyNumberFormat="1" applyFill="1" applyBorder="1" applyAlignment="1" applyProtection="1">
      <alignment horizontal="right" vertical="center" indent="1"/>
      <protection locked="0"/>
    </xf>
    <xf numFmtId="164" fontId="0" fillId="6" borderId="6" xfId="0" applyNumberFormat="1" applyFill="1" applyBorder="1" applyAlignment="1" applyProtection="1">
      <alignment horizontal="right" vertical="center" indent="1"/>
      <protection locked="0"/>
    </xf>
    <xf numFmtId="49" fontId="3" fillId="6" borderId="9" xfId="0" applyNumberFormat="1" applyFont="1" applyFill="1" applyBorder="1" applyAlignment="1" applyProtection="1">
      <alignment horizontal="left" vertical="center" indent="1"/>
      <protection locked="0"/>
    </xf>
    <xf numFmtId="166" fontId="0" fillId="7" borderId="8" xfId="0" applyNumberFormat="1" applyFill="1" applyBorder="1" applyAlignment="1" applyProtection="1">
      <alignment horizontal="right" vertical="center" indent="1"/>
      <protection locked="0"/>
    </xf>
    <xf numFmtId="164" fontId="0" fillId="7" borderId="8" xfId="0" applyNumberFormat="1" applyFill="1" applyBorder="1" applyAlignment="1" applyProtection="1">
      <alignment horizontal="right" vertical="center" indent="1"/>
      <protection locked="0"/>
    </xf>
    <xf numFmtId="49" fontId="3" fillId="7" borderId="8" xfId="0" applyNumberFormat="1" applyFont="1" applyFill="1" applyBorder="1" applyAlignment="1" applyProtection="1">
      <alignment horizontal="left" vertical="center" indent="1"/>
      <protection locked="0"/>
    </xf>
    <xf numFmtId="167" fontId="0" fillId="3" borderId="2" xfId="0" applyNumberFormat="1" applyFill="1" applyBorder="1" applyAlignment="1" applyProtection="1">
      <alignment horizontal="right" vertical="center" indent="1"/>
      <protection locked="0"/>
    </xf>
    <xf numFmtId="165" fontId="0" fillId="3" borderId="2" xfId="0" applyNumberFormat="1" applyFill="1" applyBorder="1" applyAlignment="1" applyProtection="1">
      <alignment horizontal="right" vertical="center" indent="1"/>
      <protection locked="0"/>
    </xf>
    <xf numFmtId="167" fontId="0" fillId="3" borderId="32" xfId="0" applyNumberFormat="1" applyFill="1" applyBorder="1" applyAlignment="1" applyProtection="1">
      <alignment horizontal="right" vertical="center" indent="1"/>
      <protection locked="0"/>
    </xf>
    <xf numFmtId="165" fontId="0" fillId="3" borderId="1" xfId="0" applyNumberFormat="1" applyFill="1" applyBorder="1" applyAlignment="1" applyProtection="1">
      <alignment horizontal="right" vertical="center" indent="1"/>
      <protection locked="0"/>
    </xf>
    <xf numFmtId="49" fontId="3" fillId="3" borderId="1" xfId="0" applyNumberFormat="1" applyFont="1" applyFill="1" applyBorder="1" applyAlignment="1" applyProtection="1">
      <alignment horizontal="left" vertical="center" indent="1"/>
      <protection locked="0"/>
    </xf>
    <xf numFmtId="49" fontId="3" fillId="3" borderId="33" xfId="0" applyNumberFormat="1" applyFont="1" applyFill="1" applyBorder="1" applyAlignment="1" applyProtection="1">
      <alignment horizontal="left" vertical="center" indent="1"/>
      <protection locked="0"/>
    </xf>
    <xf numFmtId="165" fontId="12" fillId="8" borderId="1" xfId="0" applyNumberFormat="1" applyFont="1" applyFill="1" applyBorder="1" applyAlignment="1" applyProtection="1">
      <alignment horizontal="right" vertical="center" indent="1"/>
      <protection locked="0"/>
    </xf>
    <xf numFmtId="49" fontId="3" fillId="8" borderId="1" xfId="0" applyNumberFormat="1" applyFont="1" applyFill="1" applyBorder="1" applyAlignment="1" applyProtection="1">
      <alignment horizontal="left" vertical="center" indent="1"/>
      <protection locked="0"/>
    </xf>
    <xf numFmtId="164" fontId="5" fillId="11" borderId="37" xfId="0" applyNumberFormat="1" applyFont="1" applyFill="1" applyBorder="1" applyAlignment="1">
      <alignment horizontal="centerContinuous" vertical="center"/>
    </xf>
    <xf numFmtId="49" fontId="5" fillId="11" borderId="0" xfId="0" applyNumberFormat="1" applyFont="1" applyFill="1" applyBorder="1" applyAlignment="1">
      <alignment horizontal="centerContinuous" vertical="center"/>
    </xf>
    <xf numFmtId="49" fontId="3" fillId="5" borderId="38" xfId="0" applyNumberFormat="1" applyFont="1" applyFill="1" applyBorder="1" applyAlignment="1" applyProtection="1">
      <alignment horizontal="left" vertical="center" indent="1"/>
      <protection locked="0"/>
    </xf>
    <xf numFmtId="0" fontId="0" fillId="13" borderId="31" xfId="0" applyFill="1" applyBorder="1" applyAlignment="1">
      <alignment horizontal="centerContinuous" vertical="center"/>
    </xf>
    <xf numFmtId="0" fontId="0" fillId="13" borderId="32" xfId="0" applyFill="1" applyBorder="1" applyAlignment="1">
      <alignment horizontal="centerContinuous" vertical="center"/>
    </xf>
    <xf numFmtId="167" fontId="0" fillId="7" borderId="29" xfId="0" applyNumberFormat="1" applyFill="1" applyBorder="1" applyAlignment="1" applyProtection="1">
      <alignment horizontal="right" vertical="center" indent="1"/>
      <protection locked="0"/>
    </xf>
    <xf numFmtId="49" fontId="3" fillId="7" borderId="29" xfId="0" applyNumberFormat="1" applyFont="1" applyFill="1" applyBorder="1" applyAlignment="1" applyProtection="1">
      <alignment horizontal="left" vertical="center" indent="1"/>
      <protection locked="0"/>
    </xf>
    <xf numFmtId="49" fontId="3" fillId="7" borderId="40" xfId="0" applyNumberFormat="1" applyFont="1" applyFill="1" applyBorder="1" applyAlignment="1" applyProtection="1">
      <alignment horizontal="left" vertical="center" indent="1"/>
      <protection locked="0"/>
    </xf>
    <xf numFmtId="49" fontId="3" fillId="6" borderId="41" xfId="0" applyNumberFormat="1" applyFont="1" applyFill="1" applyBorder="1" applyAlignment="1" applyProtection="1">
      <alignment horizontal="left" vertical="center" indent="1"/>
      <protection locked="0"/>
    </xf>
    <xf numFmtId="49" fontId="3" fillId="7" borderId="42" xfId="0" applyNumberFormat="1" applyFont="1" applyFill="1" applyBorder="1" applyAlignment="1" applyProtection="1">
      <alignment horizontal="left" vertical="center" indent="1"/>
      <protection locked="0"/>
    </xf>
    <xf numFmtId="164" fontId="7" fillId="12" borderId="45" xfId="0" applyNumberFormat="1" applyFont="1" applyFill="1" applyBorder="1" applyAlignment="1">
      <alignment horizontal="centerContinuous" vertical="center"/>
    </xf>
    <xf numFmtId="49" fontId="7" fillId="12" borderId="46" xfId="0" applyNumberFormat="1" applyFont="1" applyFill="1" applyBorder="1" applyAlignment="1">
      <alignment horizontal="centerContinuous" vertical="center"/>
    </xf>
    <xf numFmtId="164" fontId="6" fillId="10" borderId="47" xfId="0" applyNumberFormat="1" applyFont="1" applyFill="1" applyBorder="1" applyAlignment="1">
      <alignment horizontal="centerContinuous" vertical="center"/>
    </xf>
    <xf numFmtId="49" fontId="6" fillId="10" borderId="47" xfId="0" applyNumberFormat="1" applyFont="1" applyFill="1" applyBorder="1" applyAlignment="1">
      <alignment horizontal="centerContinuous" vertical="center"/>
    </xf>
    <xf numFmtId="167" fontId="0" fillId="4" borderId="1" xfId="0" applyNumberFormat="1" applyFill="1" applyBorder="1" applyAlignment="1" applyProtection="1">
      <alignment horizontal="right" vertical="center" indent="1"/>
    </xf>
    <xf numFmtId="49" fontId="3" fillId="4" borderId="1" xfId="0" applyNumberFormat="1" applyFont="1" applyFill="1" applyBorder="1" applyAlignment="1" applyProtection="1">
      <alignment horizontal="left" vertical="center" indent="1"/>
    </xf>
    <xf numFmtId="167" fontId="0" fillId="5" borderId="50" xfId="0" applyNumberFormat="1" applyFill="1" applyBorder="1" applyAlignment="1" applyProtection="1">
      <alignment horizontal="right" vertical="center" indent="1"/>
      <protection locked="0"/>
    </xf>
    <xf numFmtId="49" fontId="3" fillId="5" borderId="51" xfId="0" applyNumberFormat="1" applyFont="1" applyFill="1" applyBorder="1" applyAlignment="1" applyProtection="1">
      <alignment horizontal="left" vertical="center" indent="1"/>
      <protection locked="0"/>
    </xf>
    <xf numFmtId="167" fontId="0" fillId="6" borderId="45" xfId="0" applyNumberFormat="1" applyFill="1" applyBorder="1" applyAlignment="1" applyProtection="1">
      <alignment horizontal="right" vertical="center" indent="1"/>
      <protection locked="0"/>
    </xf>
    <xf numFmtId="49" fontId="3" fillId="6" borderId="46" xfId="0" applyNumberFormat="1" applyFont="1" applyFill="1" applyBorder="1" applyAlignment="1" applyProtection="1">
      <alignment horizontal="left" vertical="center" indent="1"/>
      <protection locked="0"/>
    </xf>
    <xf numFmtId="167" fontId="0" fillId="7" borderId="52" xfId="0" applyNumberFormat="1" applyFill="1" applyBorder="1" applyAlignment="1" applyProtection="1">
      <alignment horizontal="right" vertical="center" indent="1"/>
      <protection locked="0"/>
    </xf>
    <xf numFmtId="49" fontId="3" fillId="7" borderId="52" xfId="0" applyNumberFormat="1" applyFont="1" applyFill="1" applyBorder="1" applyAlignment="1" applyProtection="1">
      <alignment horizontal="left" vertical="center" indent="1"/>
      <protection locked="0"/>
    </xf>
    <xf numFmtId="167" fontId="8" fillId="11" borderId="4" xfId="0" applyNumberFormat="1" applyFont="1" applyFill="1" applyBorder="1" applyAlignment="1">
      <alignment horizontal="centerContinuous" vertical="center"/>
    </xf>
    <xf numFmtId="0" fontId="8" fillId="11" borderId="7" xfId="0" applyFont="1" applyFill="1" applyBorder="1" applyAlignment="1">
      <alignment horizontal="centerContinuous" vertical="center"/>
    </xf>
    <xf numFmtId="167" fontId="7" fillId="12" borderId="6" xfId="0" applyNumberFormat="1" applyFont="1" applyFill="1" applyBorder="1" applyAlignment="1">
      <alignment horizontal="centerContinuous" vertical="center"/>
    </xf>
    <xf numFmtId="0" fontId="7" fillId="12" borderId="9" xfId="0" applyFont="1" applyFill="1" applyBorder="1" applyAlignment="1">
      <alignment horizontal="centerContinuous" vertical="center"/>
    </xf>
    <xf numFmtId="167" fontId="6" fillId="10" borderId="8" xfId="0" applyNumberFormat="1" applyFont="1" applyFill="1" applyBorder="1" applyAlignment="1">
      <alignment horizontal="centerContinuous" vertical="center"/>
    </xf>
    <xf numFmtId="0" fontId="6" fillId="10" borderId="8" xfId="0" applyFont="1" applyFill="1" applyBorder="1" applyAlignment="1">
      <alignment horizontal="centerContinuous" vertical="center"/>
    </xf>
    <xf numFmtId="0" fontId="11" fillId="14" borderId="27" xfId="0" applyFont="1" applyFill="1" applyBorder="1" applyAlignment="1" applyProtection="1">
      <alignment horizontal="center" vertical="center"/>
    </xf>
    <xf numFmtId="0" fontId="11" fillId="14" borderId="4" xfId="0" applyFont="1" applyFill="1" applyBorder="1" applyAlignment="1" applyProtection="1">
      <alignment horizontal="center" vertical="center"/>
    </xf>
    <xf numFmtId="0" fontId="9" fillId="15" borderId="28" xfId="0" applyFont="1" applyFill="1" applyBorder="1" applyAlignment="1" applyProtection="1">
      <alignment horizontal="center" vertical="center"/>
    </xf>
    <xf numFmtId="0" fontId="9" fillId="15" borderId="6" xfId="0" applyFont="1" applyFill="1" applyBorder="1" applyAlignment="1" applyProtection="1">
      <alignment horizontal="center" vertical="center"/>
    </xf>
    <xf numFmtId="0" fontId="10" fillId="16" borderId="42" xfId="0" applyFont="1" applyFill="1" applyBorder="1" applyAlignment="1" applyProtection="1">
      <alignment horizontal="center" vertical="center"/>
    </xf>
    <xf numFmtId="0" fontId="10" fillId="16" borderId="40" xfId="0" applyFont="1" applyFill="1" applyBorder="1" applyAlignment="1" applyProtection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Continuous"/>
    </xf>
    <xf numFmtId="0" fontId="11" fillId="4" borderId="13" xfId="0" applyFont="1" applyFill="1" applyBorder="1" applyAlignment="1">
      <alignment horizontal="centerContinuous"/>
    </xf>
    <xf numFmtId="0" fontId="9" fillId="4" borderId="13" xfId="0" applyFont="1" applyFill="1" applyBorder="1" applyAlignment="1">
      <alignment horizontal="centerContinuous"/>
    </xf>
    <xf numFmtId="0" fontId="10" fillId="9" borderId="0" xfId="0" applyFont="1" applyFill="1" applyBorder="1" applyAlignment="1">
      <alignment horizontal="centerContinuous"/>
    </xf>
    <xf numFmtId="0" fontId="10" fillId="4" borderId="0" xfId="0" applyFont="1" applyFill="1" applyBorder="1" applyAlignment="1">
      <alignment horizontal="centerContinuous"/>
    </xf>
    <xf numFmtId="0" fontId="10" fillId="4" borderId="53" xfId="0" applyFont="1" applyFill="1" applyBorder="1" applyAlignment="1">
      <alignment horizontal="center"/>
    </xf>
    <xf numFmtId="0" fontId="10" fillId="3" borderId="54" xfId="0" applyFont="1" applyFill="1" applyBorder="1" applyAlignment="1"/>
    <xf numFmtId="0" fontId="10" fillId="3" borderId="55" xfId="0" applyFont="1" applyFill="1" applyBorder="1" applyAlignment="1"/>
    <xf numFmtId="0" fontId="10" fillId="3" borderId="56" xfId="0" applyFont="1" applyFill="1" applyBorder="1" applyAlignment="1"/>
    <xf numFmtId="0" fontId="0" fillId="2" borderId="0" xfId="0" applyFill="1" applyBorder="1"/>
    <xf numFmtId="169" fontId="12" fillId="8" borderId="1" xfId="0" applyNumberFormat="1" applyFont="1" applyFill="1" applyBorder="1" applyAlignment="1" applyProtection="1">
      <alignment horizontal="right" vertical="center" indent="1"/>
      <protection locked="0"/>
    </xf>
    <xf numFmtId="165" fontId="12" fillId="18" borderId="0" xfId="0" applyNumberFormat="1" applyFont="1" applyFill="1" applyBorder="1" applyAlignment="1" applyProtection="1">
      <alignment horizontal="right" vertical="center" indent="1"/>
      <protection locked="0"/>
    </xf>
    <xf numFmtId="49" fontId="3" fillId="18" borderId="0" xfId="0" applyNumberFormat="1" applyFont="1" applyFill="1" applyBorder="1" applyAlignment="1" applyProtection="1">
      <alignment horizontal="left" vertical="center" indent="1"/>
      <protection locked="0"/>
    </xf>
    <xf numFmtId="0" fontId="0" fillId="18" borderId="0" xfId="0" applyFill="1" applyAlignment="1">
      <alignment vertical="center"/>
    </xf>
    <xf numFmtId="0" fontId="0" fillId="18" borderId="3" xfId="0" applyFill="1" applyBorder="1" applyAlignment="1">
      <alignment horizontal="right" vertical="center" indent="1"/>
    </xf>
    <xf numFmtId="0" fontId="0" fillId="18" borderId="2" xfId="0" applyFill="1" applyBorder="1" applyAlignment="1">
      <alignment vertical="center"/>
    </xf>
    <xf numFmtId="0" fontId="0" fillId="18" borderId="3" xfId="0" applyFill="1" applyBorder="1" applyAlignment="1">
      <alignment horizontal="right" vertical="center"/>
    </xf>
    <xf numFmtId="0" fontId="0" fillId="18" borderId="2" xfId="0" applyFill="1" applyBorder="1" applyAlignment="1">
      <alignment horizontal="left" vertical="center" indent="1"/>
    </xf>
    <xf numFmtId="0" fontId="0" fillId="18" borderId="0" xfId="0" applyFill="1" applyBorder="1" applyAlignment="1">
      <alignment vertical="center"/>
    </xf>
    <xf numFmtId="0" fontId="0" fillId="18" borderId="5" xfId="0" applyFill="1" applyBorder="1" applyAlignment="1">
      <alignment horizontal="right" vertical="center"/>
    </xf>
    <xf numFmtId="0" fontId="0" fillId="18" borderId="5" xfId="0" applyFill="1" applyBorder="1" applyAlignment="1">
      <alignment horizontal="left" vertical="center" indent="1"/>
    </xf>
    <xf numFmtId="167" fontId="0" fillId="18" borderId="0" xfId="0" applyNumberFormat="1" applyFill="1" applyBorder="1" applyAlignment="1">
      <alignment horizontal="right" vertical="center" indent="1"/>
    </xf>
    <xf numFmtId="49" fontId="3" fillId="18" borderId="0" xfId="0" applyNumberFormat="1" applyFont="1" applyFill="1" applyBorder="1" applyAlignment="1">
      <alignment horizontal="left" vertical="center" indent="1"/>
    </xf>
    <xf numFmtId="0" fontId="0" fillId="18" borderId="31" xfId="0" applyFill="1" applyBorder="1" applyAlignment="1">
      <alignment horizontal="right" vertical="center" indent="1"/>
    </xf>
    <xf numFmtId="0" fontId="0" fillId="18" borderId="31" xfId="0" applyFill="1" applyBorder="1" applyAlignment="1">
      <alignment vertical="center"/>
    </xf>
    <xf numFmtId="0" fontId="0" fillId="18" borderId="31" xfId="0" applyFill="1" applyBorder="1" applyAlignment="1">
      <alignment horizontal="right" vertical="center"/>
    </xf>
    <xf numFmtId="164" fontId="0" fillId="18" borderId="0" xfId="0" applyNumberFormat="1" applyFill="1" applyBorder="1" applyAlignment="1">
      <alignment vertical="center"/>
    </xf>
    <xf numFmtId="49" fontId="0" fillId="18" borderId="0" xfId="0" applyNumberFormat="1" applyFill="1" applyBorder="1" applyAlignment="1">
      <alignment vertical="center"/>
    </xf>
    <xf numFmtId="0" fontId="0" fillId="18" borderId="0" xfId="0" applyFill="1" applyBorder="1" applyAlignment="1">
      <alignment horizontal="right" vertical="center"/>
    </xf>
    <xf numFmtId="0" fontId="0" fillId="18" borderId="5" xfId="0" applyFill="1" applyBorder="1" applyAlignment="1">
      <alignment vertical="center"/>
    </xf>
    <xf numFmtId="0" fontId="2" fillId="18" borderId="0" xfId="0" applyFont="1" applyFill="1" applyAlignment="1">
      <alignment vertical="center"/>
    </xf>
    <xf numFmtId="49" fontId="3" fillId="19" borderId="57" xfId="0" applyNumberFormat="1" applyFont="1" applyFill="1" applyBorder="1" applyAlignment="1" applyProtection="1">
      <alignment horizontal="left" vertical="center" indent="1"/>
      <protection locked="0"/>
    </xf>
    <xf numFmtId="0" fontId="2" fillId="2" borderId="2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Continuous" vertical="center"/>
    </xf>
    <xf numFmtId="0" fontId="11" fillId="2" borderId="39" xfId="0" applyFont="1" applyFill="1" applyBorder="1" applyAlignment="1" applyProtection="1">
      <alignment horizontal="center" vertical="center"/>
    </xf>
    <xf numFmtId="49" fontId="11" fillId="2" borderId="43" xfId="0" applyNumberFormat="1" applyFont="1" applyFill="1" applyBorder="1" applyAlignment="1" applyProtection="1">
      <alignment horizontal="center" vertical="center"/>
    </xf>
    <xf numFmtId="0" fontId="15" fillId="2" borderId="44" xfId="0" applyFont="1" applyFill="1" applyBorder="1" applyAlignment="1" applyProtection="1">
      <alignment horizontal="center" vertical="center"/>
    </xf>
    <xf numFmtId="49" fontId="15" fillId="2" borderId="48" xfId="0" applyNumberFormat="1" applyFont="1" applyFill="1" applyBorder="1" applyAlignment="1" applyProtection="1">
      <alignment horizontal="center" vertical="center"/>
    </xf>
    <xf numFmtId="0" fontId="10" fillId="2" borderId="49" xfId="0" applyFont="1" applyFill="1" applyBorder="1" applyAlignment="1" applyProtection="1">
      <alignment horizontal="center" vertical="center"/>
    </xf>
    <xf numFmtId="49" fontId="10" fillId="2" borderId="49" xfId="0" applyNumberFormat="1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>
      <alignment horizontal="centerContinuous" vertical="center"/>
    </xf>
    <xf numFmtId="0" fontId="2" fillId="2" borderId="35" xfId="0" applyFont="1" applyFill="1" applyBorder="1" applyAlignment="1">
      <alignment horizontal="centerContinuous" vertical="center"/>
    </xf>
    <xf numFmtId="0" fontId="2" fillId="2" borderId="30" xfId="0" applyFont="1" applyFill="1" applyBorder="1" applyAlignment="1">
      <alignment horizontal="centerContinuous" vertical="center"/>
    </xf>
    <xf numFmtId="0" fontId="2" fillId="2" borderId="36" xfId="0" applyFont="1" applyFill="1" applyBorder="1" applyAlignment="1">
      <alignment horizontal="centerContinuous" vertical="center"/>
    </xf>
    <xf numFmtId="0" fontId="0" fillId="4" borderId="58" xfId="0" applyFill="1" applyBorder="1" applyAlignment="1">
      <alignment horizontal="center"/>
    </xf>
    <xf numFmtId="0" fontId="0" fillId="4" borderId="53" xfId="0" applyFill="1" applyBorder="1" applyAlignment="1">
      <alignment horizontal="center"/>
    </xf>
    <xf numFmtId="0" fontId="0" fillId="3" borderId="59" xfId="0" applyFill="1" applyBorder="1" applyAlignment="1"/>
    <xf numFmtId="0" fontId="0" fillId="3" borderId="54" xfId="0" applyFill="1" applyBorder="1" applyAlignment="1"/>
    <xf numFmtId="0" fontId="0" fillId="3" borderId="60" xfId="0" applyFill="1" applyBorder="1" applyAlignment="1"/>
    <xf numFmtId="0" fontId="0" fillId="3" borderId="55" xfId="0" applyFill="1" applyBorder="1" applyAlignment="1"/>
    <xf numFmtId="0" fontId="0" fillId="3" borderId="61" xfId="0" applyFill="1" applyBorder="1" applyAlignment="1"/>
    <xf numFmtId="0" fontId="11" fillId="4" borderId="58" xfId="0" applyFont="1" applyFill="1" applyBorder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3" borderId="59" xfId="0" applyFont="1" applyFill="1" applyBorder="1" applyAlignment="1"/>
    <xf numFmtId="0" fontId="11" fillId="3" borderId="54" xfId="0" applyFont="1" applyFill="1" applyBorder="1" applyAlignment="1"/>
    <xf numFmtId="0" fontId="11" fillId="3" borderId="60" xfId="0" applyFont="1" applyFill="1" applyBorder="1" applyAlignment="1"/>
    <xf numFmtId="0" fontId="11" fillId="3" borderId="55" xfId="0" applyFont="1" applyFill="1" applyBorder="1" applyAlignment="1"/>
    <xf numFmtId="0" fontId="11" fillId="3" borderId="61" xfId="0" applyFont="1" applyFill="1" applyBorder="1" applyAlignment="1"/>
    <xf numFmtId="0" fontId="11" fillId="3" borderId="56" xfId="0" applyFont="1" applyFill="1" applyBorder="1" applyAlignment="1"/>
    <xf numFmtId="0" fontId="9" fillId="4" borderId="58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9" fillId="3" borderId="59" xfId="0" applyFont="1" applyFill="1" applyBorder="1" applyAlignment="1"/>
    <xf numFmtId="0" fontId="9" fillId="3" borderId="54" xfId="0" applyFont="1" applyFill="1" applyBorder="1" applyAlignment="1"/>
    <xf numFmtId="0" fontId="9" fillId="3" borderId="60" xfId="0" applyFont="1" applyFill="1" applyBorder="1" applyAlignment="1"/>
    <xf numFmtId="0" fontId="9" fillId="3" borderId="55" xfId="0" applyFont="1" applyFill="1" applyBorder="1" applyAlignment="1"/>
    <xf numFmtId="0" fontId="9" fillId="3" borderId="61" xfId="0" applyFont="1" applyFill="1" applyBorder="1" applyAlignment="1"/>
    <xf numFmtId="0" fontId="9" fillId="3" borderId="56" xfId="0" applyFont="1" applyFill="1" applyBorder="1" applyAlignment="1"/>
    <xf numFmtId="0" fontId="10" fillId="4" borderId="58" xfId="0" applyFont="1" applyFill="1" applyBorder="1" applyAlignment="1">
      <alignment horizontal="center"/>
    </xf>
    <xf numFmtId="0" fontId="10" fillId="3" borderId="59" xfId="0" applyFont="1" applyFill="1" applyBorder="1" applyAlignment="1"/>
    <xf numFmtId="0" fontId="10" fillId="3" borderId="60" xfId="0" applyFont="1" applyFill="1" applyBorder="1" applyAlignment="1"/>
    <xf numFmtId="0" fontId="10" fillId="3" borderId="61" xfId="0" applyFont="1" applyFill="1" applyBorder="1" applyAlignment="1"/>
    <xf numFmtId="0" fontId="17" fillId="2" borderId="0" xfId="0" applyFont="1" applyFill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Medium9"/>
  <colors>
    <mruColors>
      <color rgb="FF7F7F7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45"/>
      <c:rAngAx val="0"/>
    </c:view3D>
    <c:floor>
      <c:thickness val="0"/>
      <c:spPr>
        <a:noFill/>
        <a:ln w="9525" cap="flat" cmpd="sng" algn="ctr">
          <a:solidFill>
            <a:schemeClr val="tx1">
              <a:lumMod val="15000"/>
              <a:lumOff val="85000"/>
            </a:schemeClr>
          </a:solidFill>
          <a:round/>
        </a:ln>
        <a:effectLst/>
        <a:sp3d contourW="9525">
          <a:contourClr>
            <a:schemeClr val="tx1">
              <a:lumMod val="15000"/>
              <a:lumOff val="8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0098007682345665E-2"/>
          <c:y val="1.9550425692266685E-2"/>
          <c:w val="0.90632983164168002"/>
          <c:h val="0.79683544890267943"/>
        </c:manualLayout>
      </c:layout>
      <c:area3DChart>
        <c:grouping val="standard"/>
        <c:varyColors val="0"/>
        <c:ser>
          <c:idx val="0"/>
          <c:order val="0"/>
          <c:tx>
            <c:v>Ist</c:v>
          </c:tx>
          <c:spPr>
            <a:gradFill>
              <a:gsLst>
                <a:gs pos="0">
                  <a:schemeClr val="tx1">
                    <a:lumMod val="75000"/>
                    <a:lumOff val="25000"/>
                    <a:alpha val="50000"/>
                  </a:schemeClr>
                </a:gs>
                <a:gs pos="100000">
                  <a:schemeClr val="bg1">
                    <a:lumMod val="85000"/>
                    <a:alpha val="50000"/>
                  </a:schemeClr>
                </a:gs>
              </a:gsLst>
              <a:lin ang="0" scaled="0"/>
            </a:gradFill>
            <a:ln w="3175">
              <a:solidFill>
                <a:schemeClr val="bg1"/>
              </a:solidFill>
            </a:ln>
            <a:effectLst/>
            <a:sp3d contourW="3175">
              <a:contourClr>
                <a:schemeClr val="bg1"/>
              </a:contourClr>
            </a:sp3d>
          </c:spPr>
          <c:cat>
            <c:numRef>
              <c:f>[0]!jahre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[0]!istsumm</c:f>
              <c:numCache>
                <c:formatCode>_-* #,##0\ "€"_-;\-* #,##0\ "€"_-;_-* "-"??\ "€"_-;_-@_-</c:formatCode>
                <c:ptCount val="20"/>
                <c:pt idx="0">
                  <c:v>6000</c:v>
                </c:pt>
                <c:pt idx="1">
                  <c:v>12240</c:v>
                </c:pt>
                <c:pt idx="2">
                  <c:v>18729.599999999999</c:v>
                </c:pt>
                <c:pt idx="3">
                  <c:v>25478.784</c:v>
                </c:pt>
                <c:pt idx="4">
                  <c:v>40243.147519999999</c:v>
                </c:pt>
                <c:pt idx="5">
                  <c:v>45718.085580799998</c:v>
                </c:pt>
                <c:pt idx="6">
                  <c:v>51412.021164031998</c:v>
                </c:pt>
                <c:pt idx="7">
                  <c:v>57333.714170593274</c:v>
                </c:pt>
                <c:pt idx="8">
                  <c:v>63492.274897417003</c:v>
                </c:pt>
                <c:pt idx="9">
                  <c:v>69897.178053313692</c:v>
                </c:pt>
                <c:pt idx="10">
                  <c:v>76558.277335446226</c:v>
                </c:pt>
                <c:pt idx="11">
                  <c:v>83485.82058886408</c:v>
                </c:pt>
                <c:pt idx="12">
                  <c:v>90690.465572418645</c:v>
                </c:pt>
                <c:pt idx="13">
                  <c:v>98183.296355315397</c:v>
                </c:pt>
                <c:pt idx="14">
                  <c:v>115475.84036952801</c:v>
                </c:pt>
                <c:pt idx="15">
                  <c:v>123580.08614430913</c:v>
                </c:pt>
                <c:pt idx="16">
                  <c:v>132008.50175008149</c:v>
                </c:pt>
                <c:pt idx="17">
                  <c:v>140774.05398008475</c:v>
                </c:pt>
                <c:pt idx="18">
                  <c:v>149890.22829928814</c:v>
                </c:pt>
                <c:pt idx="19">
                  <c:v>159371.04959125965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E8-4828-99E7-DD1CD77DFF0B}"/>
            </c:ext>
          </c:extLst>
        </c:ser>
        <c:ser>
          <c:idx val="1"/>
          <c:order val="1"/>
          <c:tx>
            <c:v>Alternative 1</c:v>
          </c:tx>
          <c:spPr>
            <a:solidFill>
              <a:schemeClr val="accent1">
                <a:alpha val="50000"/>
              </a:schemeClr>
            </a:solidFill>
            <a:ln w="3175">
              <a:solidFill>
                <a:schemeClr val="bg1"/>
              </a:solidFill>
            </a:ln>
            <a:effectLst/>
            <a:sp3d contourW="3175">
              <a:contourClr>
                <a:schemeClr val="bg1"/>
              </a:contourClr>
            </a:sp3d>
          </c:spPr>
          <c:cat>
            <c:numRef>
              <c:f>[0]!jahre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[0]!var1summ</c:f>
              <c:numCache>
                <c:formatCode>_-* #,##0\ "€"_-;\-* #,##0\ "€"_-;_-* "-"??\ "€"_-;_-@_-</c:formatCode>
                <c:ptCount val="20"/>
                <c:pt idx="0">
                  <c:v>36000</c:v>
                </c:pt>
                <c:pt idx="1">
                  <c:v>40160</c:v>
                </c:pt>
                <c:pt idx="2">
                  <c:v>44486.400000000001</c:v>
                </c:pt>
                <c:pt idx="3">
                  <c:v>48985.856</c:v>
                </c:pt>
                <c:pt idx="4">
                  <c:v>53665.290240000002</c:v>
                </c:pt>
                <c:pt idx="5">
                  <c:v>58531.901849599999</c:v>
                </c:pt>
                <c:pt idx="6">
                  <c:v>63593.177923584</c:v>
                </c:pt>
                <c:pt idx="7">
                  <c:v>68856.905040527359</c:v>
                </c:pt>
                <c:pt idx="8">
                  <c:v>74331.18124214845</c:v>
                </c:pt>
                <c:pt idx="9">
                  <c:v>80024.428491834391</c:v>
                </c:pt>
                <c:pt idx="10">
                  <c:v>114745.40563150778</c:v>
                </c:pt>
                <c:pt idx="11">
                  <c:v>120903.22185676807</c:v>
                </c:pt>
                <c:pt idx="12">
                  <c:v>127307.35073103879</c:v>
                </c:pt>
                <c:pt idx="13">
                  <c:v>133967.64476028032</c:v>
                </c:pt>
                <c:pt idx="14">
                  <c:v>140894.35055069154</c:v>
                </c:pt>
                <c:pt idx="15">
                  <c:v>148098.12457271921</c:v>
                </c:pt>
                <c:pt idx="16">
                  <c:v>155590.04955562798</c:v>
                </c:pt>
                <c:pt idx="17">
                  <c:v>163381.65153785309</c:v>
                </c:pt>
                <c:pt idx="18">
                  <c:v>171484.91759936721</c:v>
                </c:pt>
                <c:pt idx="19">
                  <c:v>179912.3143033419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8-4828-99E7-DD1CD77DFF0B}"/>
            </c:ext>
          </c:extLst>
        </c:ser>
        <c:ser>
          <c:idx val="2"/>
          <c:order val="2"/>
          <c:tx>
            <c:v>Alternative 2</c:v>
          </c:tx>
          <c:spPr>
            <a:solidFill>
              <a:schemeClr val="accent2">
                <a:alpha val="50000"/>
              </a:schemeClr>
            </a:solidFill>
            <a:ln w="3175">
              <a:solidFill>
                <a:schemeClr val="bg1"/>
              </a:solidFill>
            </a:ln>
            <a:effectLst/>
            <a:sp3d contourW="3175">
              <a:contourClr>
                <a:schemeClr val="bg1"/>
              </a:contourClr>
            </a:sp3d>
          </c:spPr>
          <c:cat>
            <c:numRef>
              <c:f>[0]!jahre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[0]!var2summ</c:f>
              <c:numCache>
                <c:formatCode>_-* #,##0\ "€"_-;\-* #,##0\ "€"_-;_-* "-"??\ "€"_-;_-@_-</c:formatCode>
                <c:ptCount val="20"/>
                <c:pt idx="0">
                  <c:v>25700</c:v>
                </c:pt>
                <c:pt idx="1">
                  <c:v>29548</c:v>
                </c:pt>
                <c:pt idx="2">
                  <c:v>33549.919999999998</c:v>
                </c:pt>
                <c:pt idx="3">
                  <c:v>37711.916799999999</c:v>
                </c:pt>
                <c:pt idx="4">
                  <c:v>42040.393471999996</c:v>
                </c:pt>
                <c:pt idx="5">
                  <c:v>46542.009210880002</c:v>
                </c:pt>
                <c:pt idx="6">
                  <c:v>51223.6895793152</c:v>
                </c:pt>
                <c:pt idx="7">
                  <c:v>56092.637162487808</c:v>
                </c:pt>
                <c:pt idx="8">
                  <c:v>61156.342648987324</c:v>
                </c:pt>
                <c:pt idx="9">
                  <c:v>66422.596354946814</c:v>
                </c:pt>
                <c:pt idx="10">
                  <c:v>91399.500209144695</c:v>
                </c:pt>
                <c:pt idx="11">
                  <c:v>97095.480217510471</c:v>
                </c:pt>
                <c:pt idx="12">
                  <c:v>103019.29942621088</c:v>
                </c:pt>
                <c:pt idx="13">
                  <c:v>109180.07140325932</c:v>
                </c:pt>
                <c:pt idx="14">
                  <c:v>115587.2742593897</c:v>
                </c:pt>
                <c:pt idx="15">
                  <c:v>122250.76522976528</c:v>
                </c:pt>
                <c:pt idx="16">
                  <c:v>129180.79583895589</c:v>
                </c:pt>
                <c:pt idx="17">
                  <c:v>136388.02767251414</c:v>
                </c:pt>
                <c:pt idx="18">
                  <c:v>143883.54877941468</c:v>
                </c:pt>
                <c:pt idx="19">
                  <c:v>151678.89073059126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E8-4828-99E7-DD1CD77DFF0B}"/>
            </c:ext>
          </c:extLst>
        </c:ser>
        <c:ser>
          <c:idx val="3"/>
          <c:order val="3"/>
          <c:tx>
            <c:v>Alternative 3</c:v>
          </c:tx>
          <c:spPr>
            <a:solidFill>
              <a:schemeClr val="accent3">
                <a:alpha val="50000"/>
              </a:schemeClr>
            </a:solidFill>
            <a:ln w="3175">
              <a:solidFill>
                <a:schemeClr val="bg1"/>
              </a:solidFill>
            </a:ln>
            <a:effectLst/>
            <a:sp3d contourW="3175">
              <a:contourClr>
                <a:schemeClr val="bg1"/>
              </a:contourClr>
            </a:sp3d>
          </c:spPr>
          <c:cat>
            <c:numRef>
              <c:f>[0]!jahre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[0]!var3summ</c:f>
              <c:numCache>
                <c:formatCode>_-* #,##0\ "€"_-;\-* #,##0\ "€"_-;_-* "-"??\ "€"_-;_-@_-</c:formatCode>
                <c:ptCount val="20"/>
                <c:pt idx="0">
                  <c:v>47200</c:v>
                </c:pt>
                <c:pt idx="1">
                  <c:v>52608</c:v>
                </c:pt>
                <c:pt idx="2">
                  <c:v>58232.32</c:v>
                </c:pt>
                <c:pt idx="3">
                  <c:v>64081.612800000003</c:v>
                </c:pt>
                <c:pt idx="4">
                  <c:v>70164.877311999997</c:v>
                </c:pt>
                <c:pt idx="5">
                  <c:v>76491.472404479995</c:v>
                </c:pt>
                <c:pt idx="6">
                  <c:v>83071.131300659195</c:v>
                </c:pt>
                <c:pt idx="7">
                  <c:v>89913.976552685563</c:v>
                </c:pt>
                <c:pt idx="8">
                  <c:v>97030.535614792985</c:v>
                </c:pt>
                <c:pt idx="9">
                  <c:v>104431.75703938471</c:v>
                </c:pt>
                <c:pt idx="10">
                  <c:v>150029.0273209601</c:v>
                </c:pt>
                <c:pt idx="11">
                  <c:v>158034.18841379852</c:v>
                </c:pt>
                <c:pt idx="12">
                  <c:v>166359.55595035045</c:v>
                </c:pt>
                <c:pt idx="13">
                  <c:v>175017.93818836447</c:v>
                </c:pt>
                <c:pt idx="14">
                  <c:v>184022.65571589905</c:v>
                </c:pt>
                <c:pt idx="15">
                  <c:v>193387.561944535</c:v>
                </c:pt>
                <c:pt idx="16">
                  <c:v>203127.06442231638</c:v>
                </c:pt>
                <c:pt idx="17">
                  <c:v>213256.14699920904</c:v>
                </c:pt>
                <c:pt idx="18">
                  <c:v>223790.39287917741</c:v>
                </c:pt>
                <c:pt idx="19">
                  <c:v>234746.00859434452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E8-4828-99E7-DD1CD77DF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0"/>
        <c:axId val="684198520"/>
        <c:axId val="684199504"/>
        <c:axId val="341361104"/>
      </c:area3DChart>
      <c:catAx>
        <c:axId val="684198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effectLst>
                  <a:glow rad="101600">
                    <a:schemeClr val="bg1">
                      <a:alpha val="60000"/>
                    </a:schemeClr>
                  </a:glow>
                </a:effectLst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4199504"/>
        <c:crosses val="autoZero"/>
        <c:auto val="1"/>
        <c:lblAlgn val="ctr"/>
        <c:lblOffset val="100"/>
        <c:noMultiLvlLbl val="0"/>
      </c:catAx>
      <c:valAx>
        <c:axId val="6841995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_-* #,##0\ &quot;€&quot;_-;\-* #,##0\ &quot;€&quot;_-;_-* &quot;-&quot;??\ &quot;€&quot;_-;_-@_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4198520"/>
        <c:crosses val="autoZero"/>
        <c:crossBetween val="midCat"/>
      </c:valAx>
      <c:serAx>
        <c:axId val="34136110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effectLst>
                  <a:glow rad="101600">
                    <a:schemeClr val="bg1">
                      <a:alpha val="60000"/>
                    </a:schemeClr>
                  </a:glow>
                </a:effectLst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4199504"/>
        <c:crosses val="autoZero"/>
      </c:ser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fmlaLink="mathe!$T$4" lockText="1" noThreeD="1"/>
</file>

<file path=xl/ctrlProps/ctrlProp2.xml><?xml version="1.0" encoding="utf-8"?>
<formControlPr xmlns="http://schemas.microsoft.com/office/spreadsheetml/2009/9/main" objectType="CheckBox" checked="Checked" fmlaLink="mathe!$U$4" lockText="1" noThreeD="1"/>
</file>

<file path=xl/ctrlProps/ctrlProp3.xml><?xml version="1.0" encoding="utf-8"?>
<formControlPr xmlns="http://schemas.microsoft.com/office/spreadsheetml/2009/9/main" objectType="CheckBox" checked="Checked" fmlaLink="mathe!$V$4" lockText="1" noThreeD="1"/>
</file>

<file path=xl/ctrlProps/ctrlProp4.xml><?xml version="1.0" encoding="utf-8"?>
<formControlPr xmlns="http://schemas.microsoft.com/office/spreadsheetml/2009/9/main" objectType="CheckBox" checked="Checked" fmlaLink="mathe!$U$4" lockText="1" noThreeD="1"/>
</file>

<file path=xl/ctrlProps/ctrlProp5.xml><?xml version="1.0" encoding="utf-8"?>
<formControlPr xmlns="http://schemas.microsoft.com/office/spreadsheetml/2009/9/main" objectType="CheckBox" checked="Checked" fmlaLink="mathe!$V$4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0</xdr:rowOff>
        </xdr:from>
        <xdr:to>
          <xdr:col>4</xdr:col>
          <xdr:colOff>0</xdr:colOff>
          <xdr:row>20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274320</xdr:colOff>
      <xdr:row>19</xdr:row>
      <xdr:rowOff>1</xdr:rowOff>
    </xdr:from>
    <xdr:to>
      <xdr:col>4</xdr:col>
      <xdr:colOff>0</xdr:colOff>
      <xdr:row>20</xdr:row>
      <xdr:rowOff>1</xdr:rowOff>
    </xdr:to>
    <xdr:sp macro="" textlink="">
      <xdr:nvSpPr>
        <xdr:cNvPr id="6" name="Textfeld 5"/>
        <xdr:cNvSpPr txBox="1"/>
      </xdr:nvSpPr>
      <xdr:spPr>
        <a:xfrm>
          <a:off x="4117450" y="4306958"/>
          <a:ext cx="678180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100"/>
            <a:t>an / aus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18</xdr:row>
          <xdr:rowOff>238125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5</xdr:col>
      <xdr:colOff>274320</xdr:colOff>
      <xdr:row>19</xdr:row>
      <xdr:rowOff>0</xdr:rowOff>
    </xdr:from>
    <xdr:to>
      <xdr:col>6</xdr:col>
      <xdr:colOff>0</xdr:colOff>
      <xdr:row>20</xdr:row>
      <xdr:rowOff>1</xdr:rowOff>
    </xdr:to>
    <xdr:sp macro="" textlink="">
      <xdr:nvSpPr>
        <xdr:cNvPr id="15" name="Textfeld 14"/>
        <xdr:cNvSpPr txBox="1"/>
      </xdr:nvSpPr>
      <xdr:spPr>
        <a:xfrm>
          <a:off x="8117950" y="4306957"/>
          <a:ext cx="678180" cy="2484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100"/>
            <a:t>an / aus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19</xdr:row>
          <xdr:rowOff>0</xdr:rowOff>
        </xdr:from>
        <xdr:to>
          <xdr:col>8</xdr:col>
          <xdr:colOff>0</xdr:colOff>
          <xdr:row>20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7</xdr:col>
      <xdr:colOff>272415</xdr:colOff>
      <xdr:row>19</xdr:row>
      <xdr:rowOff>16565</xdr:rowOff>
    </xdr:from>
    <xdr:to>
      <xdr:col>8</xdr:col>
      <xdr:colOff>0</xdr:colOff>
      <xdr:row>20</xdr:row>
      <xdr:rowOff>0</xdr:rowOff>
    </xdr:to>
    <xdr:sp macro="" textlink="">
      <xdr:nvSpPr>
        <xdr:cNvPr id="17" name="Textfeld 16"/>
        <xdr:cNvSpPr txBox="1"/>
      </xdr:nvSpPr>
      <xdr:spPr>
        <a:xfrm>
          <a:off x="11553328" y="4323522"/>
          <a:ext cx="680085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100"/>
            <a:t>an / aus</a:t>
          </a: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" name="Textfeld 1"/>
        <xdr:cNvSpPr txBox="1"/>
      </xdr:nvSpPr>
      <xdr:spPr>
        <a:xfrm>
          <a:off x="546652" y="4306957"/>
          <a:ext cx="3296478" cy="4969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1"/>
            <a:t>Was?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19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19</xdr:row>
          <xdr:rowOff>0</xdr:rowOff>
        </xdr:from>
        <xdr:to>
          <xdr:col>8</xdr:col>
          <xdr:colOff>0</xdr:colOff>
          <xdr:row>20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1</xdr:colOff>
      <xdr:row>1</xdr:row>
      <xdr:rowOff>0</xdr:rowOff>
    </xdr:from>
    <xdr:to>
      <xdr:col>9</xdr:col>
      <xdr:colOff>1</xdr:colOff>
      <xdr:row>17</xdr:row>
      <xdr:rowOff>0</xdr:rowOff>
    </xdr:to>
    <xdr:grpSp>
      <xdr:nvGrpSpPr>
        <xdr:cNvPr id="8" name="Gruppieren 7"/>
        <xdr:cNvGrpSpPr/>
      </xdr:nvGrpSpPr>
      <xdr:grpSpPr>
        <a:xfrm>
          <a:off x="8791576" y="190500"/>
          <a:ext cx="6115050" cy="3771900"/>
          <a:chOff x="8791576" y="0"/>
          <a:chExt cx="5924550" cy="3790950"/>
        </a:xfrm>
      </xdr:grpSpPr>
      <xdr:graphicFrame macro="">
        <xdr:nvGraphicFramePr>
          <xdr:cNvPr id="4" name="Diagramm 3"/>
          <xdr:cNvGraphicFramePr>
            <a:graphicFrameLocks/>
          </xdr:cNvGraphicFramePr>
        </xdr:nvGraphicFramePr>
        <xdr:xfrm>
          <a:off x="8791576" y="0"/>
          <a:ext cx="5924550" cy="37909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Textfeld 2"/>
          <xdr:cNvSpPr txBox="1"/>
        </xdr:nvSpPr>
        <xdr:spPr>
          <a:xfrm>
            <a:off x="9262384" y="47625"/>
            <a:ext cx="1315128" cy="327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de-DE" sz="1100">
                <a:solidFill>
                  <a:schemeClr val="accent6"/>
                </a:solidFill>
                <a:latin typeface="Bradley Hand ITC" panose="03070402050302030203" pitchFamily="66" charset="0"/>
              </a:rPr>
              <a:t>Gesamt-Kosten</a:t>
            </a:r>
          </a:p>
        </xdr:txBody>
      </xdr:sp>
      <xdr:sp macro="" textlink="">
        <xdr:nvSpPr>
          <xdr:cNvPr id="18" name="Textfeld 17"/>
          <xdr:cNvSpPr txBox="1"/>
        </xdr:nvSpPr>
        <xdr:spPr>
          <a:xfrm rot="335984">
            <a:off x="10291500" y="2682126"/>
            <a:ext cx="2043167" cy="327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de-DE" sz="1100">
                <a:solidFill>
                  <a:schemeClr val="accent6"/>
                </a:solidFill>
                <a:latin typeface="Bradley Hand ITC" panose="03070402050302030203" pitchFamily="66" charset="0"/>
              </a:rPr>
              <a:t>Dauer (Jahre)→</a:t>
            </a:r>
          </a:p>
        </xdr:txBody>
      </xdr:sp>
      <xdr:sp macro="" textlink="">
        <xdr:nvSpPr>
          <xdr:cNvPr id="19" name="Freihandform 18"/>
          <xdr:cNvSpPr/>
        </xdr:nvSpPr>
        <xdr:spPr>
          <a:xfrm>
            <a:off x="9125967" y="216330"/>
            <a:ext cx="288770" cy="381001"/>
          </a:xfrm>
          <a:custGeom>
            <a:avLst/>
            <a:gdLst>
              <a:gd name="connsiteX0" fmla="*/ 1119117 w 1119117"/>
              <a:gd name="connsiteY0" fmla="*/ 504968 h 504968"/>
              <a:gd name="connsiteX1" fmla="*/ 0 w 1119117"/>
              <a:gd name="connsiteY1" fmla="*/ 0 h 504968"/>
              <a:gd name="connsiteX0" fmla="*/ 1119117 w 1119117"/>
              <a:gd name="connsiteY0" fmla="*/ 504968 h 504968"/>
              <a:gd name="connsiteX1" fmla="*/ 0 w 1119117"/>
              <a:gd name="connsiteY1" fmla="*/ 0 h 504968"/>
              <a:gd name="connsiteX0" fmla="*/ 1119117 w 1119117"/>
              <a:gd name="connsiteY0" fmla="*/ 504968 h 504968"/>
              <a:gd name="connsiteX1" fmla="*/ 0 w 1119117"/>
              <a:gd name="connsiteY1" fmla="*/ 0 h 504968"/>
              <a:gd name="connsiteX0" fmla="*/ 1031634 w 1031634"/>
              <a:gd name="connsiteY0" fmla="*/ 14668 h 174788"/>
              <a:gd name="connsiteX1" fmla="*/ 0 w 1031634"/>
              <a:gd name="connsiteY1" fmla="*/ 145984 h 174788"/>
              <a:gd name="connsiteX0" fmla="*/ 1031634 w 1031634"/>
              <a:gd name="connsiteY0" fmla="*/ 21017 h 152337"/>
              <a:gd name="connsiteX1" fmla="*/ 0 w 1031634"/>
              <a:gd name="connsiteY1" fmla="*/ 152333 h 152337"/>
              <a:gd name="connsiteX0" fmla="*/ 299091 w 299091"/>
              <a:gd name="connsiteY0" fmla="*/ 10195 h 440533"/>
              <a:gd name="connsiteX1" fmla="*/ 0 w 299091"/>
              <a:gd name="connsiteY1" fmla="*/ 440530 h 440533"/>
              <a:gd name="connsiteX0" fmla="*/ 299091 w 299091"/>
              <a:gd name="connsiteY0" fmla="*/ 14173 h 444507"/>
              <a:gd name="connsiteX1" fmla="*/ 0 w 299091"/>
              <a:gd name="connsiteY1" fmla="*/ 444508 h 444507"/>
              <a:gd name="connsiteX0" fmla="*/ 299091 w 299091"/>
              <a:gd name="connsiteY0" fmla="*/ 15618 h 445953"/>
              <a:gd name="connsiteX1" fmla="*/ 0 w 299091"/>
              <a:gd name="connsiteY1" fmla="*/ 445953 h 445953"/>
              <a:gd name="connsiteX0" fmla="*/ 299091 w 299091"/>
              <a:gd name="connsiteY0" fmla="*/ 116177 h 116177"/>
              <a:gd name="connsiteX1" fmla="*/ 0 w 299091"/>
              <a:gd name="connsiteY1" fmla="*/ 116177 h 116177"/>
              <a:gd name="connsiteX0" fmla="*/ 290477 w 290477"/>
              <a:gd name="connsiteY0" fmla="*/ 14838 h 465620"/>
              <a:gd name="connsiteX1" fmla="*/ 0 w 290477"/>
              <a:gd name="connsiteY1" fmla="*/ 465620 h 465620"/>
              <a:gd name="connsiteX0" fmla="*/ 290477 w 290477"/>
              <a:gd name="connsiteY0" fmla="*/ 0 h 450782"/>
              <a:gd name="connsiteX1" fmla="*/ 0 w 290477"/>
              <a:gd name="connsiteY1" fmla="*/ 450782 h 450782"/>
              <a:gd name="connsiteX0" fmla="*/ 139690 w 143508"/>
              <a:gd name="connsiteY0" fmla="*/ 0 h 450782"/>
              <a:gd name="connsiteX1" fmla="*/ 139690 w 143508"/>
              <a:gd name="connsiteY1" fmla="*/ 450782 h 450782"/>
              <a:gd name="connsiteX0" fmla="*/ 148569 w 148590"/>
              <a:gd name="connsiteY0" fmla="*/ 0 h 450782"/>
              <a:gd name="connsiteX1" fmla="*/ 148569 w 148590"/>
              <a:gd name="connsiteY1" fmla="*/ 450782 h 450782"/>
              <a:gd name="connsiteX0" fmla="*/ 283982 w 283982"/>
              <a:gd name="connsiteY0" fmla="*/ 0 h 453067"/>
              <a:gd name="connsiteX1" fmla="*/ 1824 w 283982"/>
              <a:gd name="connsiteY1" fmla="*/ 453067 h 453067"/>
              <a:gd name="connsiteX0" fmla="*/ 286761 w 286761"/>
              <a:gd name="connsiteY0" fmla="*/ 0 h 431145"/>
              <a:gd name="connsiteX1" fmla="*/ 1396 w 286761"/>
              <a:gd name="connsiteY1" fmla="*/ 431145 h 4311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286761" h="431145">
                <a:moveTo>
                  <a:pt x="286761" y="0"/>
                </a:moveTo>
                <a:cubicBezTo>
                  <a:pt x="-49117" y="47498"/>
                  <a:pt x="4602" y="214204"/>
                  <a:pt x="1396" y="431145"/>
                </a:cubicBezTo>
              </a:path>
            </a:pathLst>
          </a:custGeom>
          <a:noFill/>
          <a:ln w="6350">
            <a:solidFill>
              <a:schemeClr val="accent6"/>
            </a:solidFill>
            <a:prstDash val="dash"/>
            <a:headEnd type="none" w="med" len="med"/>
            <a:tailEnd type="triangle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DE"/>
          </a:p>
        </xdr:txBody>
      </xdr:sp>
      <xdr:sp macro="" textlink="">
        <xdr:nvSpPr>
          <xdr:cNvPr id="5" name="Textfeld 4"/>
          <xdr:cNvSpPr txBox="1"/>
        </xdr:nvSpPr>
        <xdr:spPr>
          <a:xfrm>
            <a:off x="9653669" y="535983"/>
            <a:ext cx="184731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endParaRPr lang="de-DE" sz="1100"/>
          </a:p>
        </xdr:txBody>
      </xdr:sp>
      <xdr:sp macro="" textlink="">
        <xdr:nvSpPr>
          <xdr:cNvPr id="7" name="Textfeld 6"/>
          <xdr:cNvSpPr txBox="1"/>
        </xdr:nvSpPr>
        <xdr:spPr>
          <a:xfrm>
            <a:off x="9678273" y="3219450"/>
            <a:ext cx="3667125" cy="2571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de-DE" sz="1000">
                <a:solidFill>
                  <a:srgbClr val="7F7F7F"/>
                </a:solidFill>
                <a:sym typeface="Wingdings 2" panose="05020102010507070707" pitchFamily="18" charset="2"/>
              </a:rPr>
              <a:t></a:t>
            </a:r>
            <a:r>
              <a:rPr lang="de-DE" sz="1000">
                <a:sym typeface="Wingdings 2" panose="05020102010507070707" pitchFamily="18" charset="2"/>
              </a:rPr>
              <a:t> </a:t>
            </a:r>
            <a:r>
              <a:rPr lang="de-DE" sz="1000"/>
              <a:t>Ist</a:t>
            </a:r>
            <a:r>
              <a:rPr lang="de-DE" sz="1000" baseline="0"/>
              <a:t>     </a:t>
            </a:r>
            <a:r>
              <a:rPr lang="de-DE" sz="1000">
                <a:solidFill>
                  <a:schemeClr val="accent1"/>
                </a:solidFill>
                <a:effectLst/>
                <a:latin typeface="+mn-lt"/>
                <a:ea typeface="+mn-ea"/>
                <a:cs typeface="+mn-cs"/>
                <a:sym typeface="Wingdings 2" panose="05020102010507070707" pitchFamily="18" charset="2"/>
              </a:rPr>
              <a:t></a:t>
            </a:r>
            <a:r>
              <a:rPr lang="de-DE" sz="10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  <a:sym typeface="Wingdings 2" panose="05020102010507070707" pitchFamily="18" charset="2"/>
              </a:rPr>
              <a:t> </a:t>
            </a:r>
            <a:r>
              <a:rPr lang="de-DE" sz="1000"/>
              <a:t>Alternative 1      </a:t>
            </a:r>
            <a:r>
              <a:rPr lang="de-DE" sz="1000">
                <a:solidFill>
                  <a:schemeClr val="accent2"/>
                </a:solidFill>
                <a:effectLst/>
                <a:latin typeface="+mn-lt"/>
                <a:ea typeface="+mn-ea"/>
                <a:cs typeface="+mn-cs"/>
                <a:sym typeface="Wingdings 2" panose="05020102010507070707" pitchFamily="18" charset="2"/>
              </a:rPr>
              <a:t></a:t>
            </a:r>
            <a:r>
              <a:rPr lang="de-DE" sz="10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  <a:sym typeface="Wingdings 2" panose="05020102010507070707" pitchFamily="18" charset="2"/>
              </a:rPr>
              <a:t> </a:t>
            </a:r>
            <a:r>
              <a:rPr lang="de-DE" sz="1000"/>
              <a:t>Alternative 2     </a:t>
            </a:r>
            <a:r>
              <a:rPr lang="de-DE" sz="1000">
                <a:solidFill>
                  <a:schemeClr val="accent3"/>
                </a:solidFill>
                <a:effectLst/>
                <a:latin typeface="+mn-lt"/>
                <a:ea typeface="+mn-ea"/>
                <a:cs typeface="+mn-cs"/>
                <a:sym typeface="Wingdings 2" panose="05020102010507070707" pitchFamily="18" charset="2"/>
              </a:rPr>
              <a:t></a:t>
            </a:r>
            <a:r>
              <a:rPr lang="de-DE" sz="10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  <a:sym typeface="Wingdings 2" panose="05020102010507070707" pitchFamily="18" charset="2"/>
              </a:rPr>
              <a:t> </a:t>
            </a:r>
            <a:r>
              <a:rPr lang="de-DE" sz="1000"/>
              <a:t>Alternative 3</a:t>
            </a:r>
          </a:p>
        </xdr:txBody>
      </xdr:sp>
    </xdr:grpSp>
    <xdr:clientData/>
  </xdr:twoCellAnchor>
  <xdr:twoCellAnchor>
    <xdr:from>
      <xdr:col>2</xdr:col>
      <xdr:colOff>2602209</xdr:colOff>
      <xdr:row>28</xdr:row>
      <xdr:rowOff>159151</xdr:rowOff>
    </xdr:from>
    <xdr:to>
      <xdr:col>4</xdr:col>
      <xdr:colOff>347704</xdr:colOff>
      <xdr:row>36</xdr:row>
      <xdr:rowOff>132089</xdr:rowOff>
    </xdr:to>
    <xdr:grpSp>
      <xdr:nvGrpSpPr>
        <xdr:cNvPr id="20" name="PowePoint-post-it">
          <a:extLst>
            <a:ext uri="{FF2B5EF4-FFF2-40B4-BE49-F238E27FC236}">
              <a16:creationId xmlns:a16="http://schemas.microsoft.com/office/drawing/2014/main" id="{E3A10CA1-179A-4D9C-B687-BECFF147FA1B}"/>
            </a:ext>
          </a:extLst>
        </xdr:cNvPr>
        <xdr:cNvGrpSpPr/>
      </xdr:nvGrpSpPr>
      <xdr:grpSpPr>
        <a:xfrm rot="281340">
          <a:off x="3488034" y="6779026"/>
          <a:ext cx="1650745" cy="1544563"/>
          <a:chOff x="5840914" y="1766449"/>
          <a:chExt cx="3540069" cy="2759652"/>
        </a:xfrm>
      </xdr:grpSpPr>
      <xdr:sp macro="" textlink="">
        <xdr:nvSpPr>
          <xdr:cNvPr id="25" name="Schatten">
            <a:extLst>
              <a:ext uri="{FF2B5EF4-FFF2-40B4-BE49-F238E27FC236}">
                <a16:creationId xmlns:a16="http://schemas.microsoft.com/office/drawing/2014/main" id="{1B85B83B-52FA-4F00-B525-AFD07CF4BB70}"/>
              </a:ext>
            </a:extLst>
          </xdr:cNvPr>
          <xdr:cNvSpPr/>
        </xdr:nvSpPr>
        <xdr:spPr>
          <a:xfrm>
            <a:off x="5930375" y="1837887"/>
            <a:ext cx="3341069" cy="2580982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103896 w 7368949"/>
              <a:gd name="connsiteY0" fmla="*/ 208749 h 5760000"/>
              <a:gd name="connsiteX1" fmla="*/ 7368949 w 7368949"/>
              <a:gd name="connsiteY1" fmla="*/ 0 h 5760000"/>
              <a:gd name="connsiteX2" fmla="*/ 7368949 w 7368949"/>
              <a:gd name="connsiteY2" fmla="*/ 5760000 h 5760000"/>
              <a:gd name="connsiteX3" fmla="*/ 35452 w 7368949"/>
              <a:gd name="connsiteY3" fmla="*/ 5472035 h 5760000"/>
              <a:gd name="connsiteX4" fmla="*/ 103896 w 7368949"/>
              <a:gd name="connsiteY4" fmla="*/ 208749 h 5760000"/>
              <a:gd name="connsiteX0" fmla="*/ 103896 w 7368949"/>
              <a:gd name="connsiteY0" fmla="*/ 59644 h 5610895"/>
              <a:gd name="connsiteX1" fmla="*/ 7135025 w 7368949"/>
              <a:gd name="connsiteY1" fmla="*/ 0 h 5610895"/>
              <a:gd name="connsiteX2" fmla="*/ 7368949 w 7368949"/>
              <a:gd name="connsiteY2" fmla="*/ 5610895 h 5610895"/>
              <a:gd name="connsiteX3" fmla="*/ 35452 w 7368949"/>
              <a:gd name="connsiteY3" fmla="*/ 5322930 h 5610895"/>
              <a:gd name="connsiteX4" fmla="*/ 103896 w 7368949"/>
              <a:gd name="connsiteY4" fmla="*/ 59644 h 5610895"/>
              <a:gd name="connsiteX0" fmla="*/ 103896 w 7206220"/>
              <a:gd name="connsiteY0" fmla="*/ 59644 h 5463072"/>
              <a:gd name="connsiteX1" fmla="*/ 7135025 w 7206220"/>
              <a:gd name="connsiteY1" fmla="*/ 0 h 5463072"/>
              <a:gd name="connsiteX2" fmla="*/ 7206220 w 7206220"/>
              <a:gd name="connsiteY2" fmla="*/ 5461788 h 5463072"/>
              <a:gd name="connsiteX3" fmla="*/ 35452 w 7206220"/>
              <a:gd name="connsiteY3" fmla="*/ 5322930 h 5463072"/>
              <a:gd name="connsiteX4" fmla="*/ 103896 w 7206220"/>
              <a:gd name="connsiteY4" fmla="*/ 59644 h 5463072"/>
              <a:gd name="connsiteX0" fmla="*/ 103896 w 7135025"/>
              <a:gd name="connsiteY0" fmla="*/ 59644 h 5386354"/>
              <a:gd name="connsiteX1" fmla="*/ 7135025 w 7135025"/>
              <a:gd name="connsiteY1" fmla="*/ 0 h 5386354"/>
              <a:gd name="connsiteX2" fmla="*/ 7053660 w 7135025"/>
              <a:gd name="connsiteY2" fmla="*/ 5282861 h 5386354"/>
              <a:gd name="connsiteX3" fmla="*/ 35452 w 7135025"/>
              <a:gd name="connsiteY3" fmla="*/ 5322930 h 5386354"/>
              <a:gd name="connsiteX4" fmla="*/ 103896 w 7135025"/>
              <a:gd name="connsiteY4" fmla="*/ 59644 h 5386354"/>
              <a:gd name="connsiteX0" fmla="*/ 103896 w 7135025"/>
              <a:gd name="connsiteY0" fmla="*/ 59644 h 5358471"/>
              <a:gd name="connsiteX1" fmla="*/ 7135025 w 7135025"/>
              <a:gd name="connsiteY1" fmla="*/ 0 h 5358471"/>
              <a:gd name="connsiteX2" fmla="*/ 6555304 w 7135025"/>
              <a:gd name="connsiteY2" fmla="*/ 5034353 h 5358471"/>
              <a:gd name="connsiteX3" fmla="*/ 35452 w 7135025"/>
              <a:gd name="connsiteY3" fmla="*/ 5322930 h 5358471"/>
              <a:gd name="connsiteX4" fmla="*/ 103896 w 7135025"/>
              <a:gd name="connsiteY4" fmla="*/ 59644 h 5358471"/>
              <a:gd name="connsiteX0" fmla="*/ 103896 w 7135025"/>
              <a:gd name="connsiteY0" fmla="*/ 59644 h 5369028"/>
              <a:gd name="connsiteX1" fmla="*/ 7135025 w 7135025"/>
              <a:gd name="connsiteY1" fmla="*/ 0 h 5369028"/>
              <a:gd name="connsiteX2" fmla="*/ 6697692 w 7135025"/>
              <a:gd name="connsiteY2" fmla="*/ 5163577 h 5369028"/>
              <a:gd name="connsiteX3" fmla="*/ 35452 w 7135025"/>
              <a:gd name="connsiteY3" fmla="*/ 5322930 h 5369028"/>
              <a:gd name="connsiteX4" fmla="*/ 103896 w 7135025"/>
              <a:gd name="connsiteY4" fmla="*/ 59644 h 5369028"/>
              <a:gd name="connsiteX0" fmla="*/ 103896 w 7135025"/>
              <a:gd name="connsiteY0" fmla="*/ 59644 h 5407427"/>
              <a:gd name="connsiteX1" fmla="*/ 7135025 w 7135025"/>
              <a:gd name="connsiteY1" fmla="*/ 0 h 5407427"/>
              <a:gd name="connsiteX2" fmla="*/ 6697692 w 7135025"/>
              <a:gd name="connsiteY2" fmla="*/ 5163577 h 5407427"/>
              <a:gd name="connsiteX3" fmla="*/ 35452 w 7135025"/>
              <a:gd name="connsiteY3" fmla="*/ 5322930 h 5407427"/>
              <a:gd name="connsiteX4" fmla="*/ 103896 w 7135025"/>
              <a:gd name="connsiteY4" fmla="*/ 59644 h 5407427"/>
              <a:gd name="connsiteX0" fmla="*/ 103896 w 7135025"/>
              <a:gd name="connsiteY0" fmla="*/ 59644 h 5387079"/>
              <a:gd name="connsiteX1" fmla="*/ 7135025 w 7135025"/>
              <a:gd name="connsiteY1" fmla="*/ 0 h 5387079"/>
              <a:gd name="connsiteX2" fmla="*/ 6697692 w 7135025"/>
              <a:gd name="connsiteY2" fmla="*/ 5163577 h 5387079"/>
              <a:gd name="connsiteX3" fmla="*/ 35452 w 7135025"/>
              <a:gd name="connsiteY3" fmla="*/ 5322930 h 5387079"/>
              <a:gd name="connsiteX4" fmla="*/ 103896 w 7135025"/>
              <a:gd name="connsiteY4" fmla="*/ 59644 h 5387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135025" h="5387079">
                <a:moveTo>
                  <a:pt x="103896" y="59644"/>
                </a:moveTo>
                <a:lnTo>
                  <a:pt x="7135025" y="0"/>
                </a:lnTo>
                <a:lnTo>
                  <a:pt x="6697692" y="5163577"/>
                </a:lnTo>
                <a:cubicBezTo>
                  <a:pt x="4187861" y="5302742"/>
                  <a:pt x="1615367" y="5486127"/>
                  <a:pt x="35452" y="5322930"/>
                </a:cubicBezTo>
                <a:cubicBezTo>
                  <a:pt x="-73653" y="3865267"/>
                  <a:pt x="103896" y="1979644"/>
                  <a:pt x="103896" y="59644"/>
                </a:cubicBezTo>
                <a:close/>
              </a:path>
            </a:pathLst>
          </a:custGeom>
          <a:solidFill>
            <a:schemeClr val="bg1">
              <a:lumMod val="85000"/>
            </a:schemeClr>
          </a:solidFill>
          <a:ln>
            <a:noFill/>
          </a:ln>
          <a:effectLst>
            <a:outerShdw blurRad="127000" dist="25400" dir="72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1200" b="1" baseline="0">
                <a:solidFill>
                  <a:schemeClr val="tx1"/>
                </a:solidFill>
                <a:latin typeface="Bradley Hand ITC" panose="03070402050302030203" pitchFamily="66" charset="0"/>
              </a:rPr>
              <a:t>Schatten </a:t>
            </a:r>
            <a:r>
              <a:rPr lang="de-DE" sz="1200" b="1" baseline="0">
                <a:solidFill>
                  <a:schemeClr val="tx1"/>
                </a:solidFill>
                <a:latin typeface="Bradley Hand ITC" panose="03070402050302030203" pitchFamily="66" charset="0"/>
                <a:sym typeface="Wingdings" panose="05000000000000000000" pitchFamily="2" charset="2"/>
              </a:rPr>
              <a:t></a:t>
            </a:r>
            <a:endParaRPr lang="de-DE" sz="1200" b="1" baseline="0">
              <a:solidFill>
                <a:schemeClr val="tx1"/>
              </a:solidFill>
              <a:latin typeface="Bradley Hand ITC" panose="03070402050302030203" pitchFamily="66" charset="0"/>
            </a:endParaRPr>
          </a:p>
        </xdr:txBody>
      </xdr:sp>
      <xdr:sp macro="" textlink="">
        <xdr:nvSpPr>
          <xdr:cNvPr id="26" name="Farbe">
            <a:extLst>
              <a:ext uri="{FF2B5EF4-FFF2-40B4-BE49-F238E27FC236}">
                <a16:creationId xmlns:a16="http://schemas.microsoft.com/office/drawing/2014/main" id="{201EF6D2-0973-4BD1-AB65-212E2E430A53}"/>
              </a:ext>
            </a:extLst>
          </xdr:cNvPr>
          <xdr:cNvSpPr/>
        </xdr:nvSpPr>
        <xdr:spPr>
          <a:xfrm>
            <a:off x="5840914" y="1766450"/>
            <a:ext cx="3540069" cy="2759651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560000" h="5760000">
                <a:moveTo>
                  <a:pt x="0" y="0"/>
                </a:moveTo>
                <a:lnTo>
                  <a:pt x="7560000" y="0"/>
                </a:lnTo>
                <a:lnTo>
                  <a:pt x="7560000" y="5760000"/>
                </a:lnTo>
                <a:cubicBezTo>
                  <a:pt x="5040000" y="5760000"/>
                  <a:pt x="1806418" y="5635232"/>
                  <a:pt x="226503" y="5472035"/>
                </a:cubicBezTo>
                <a:cubicBezTo>
                  <a:pt x="117398" y="4014372"/>
                  <a:pt x="0" y="1920000"/>
                  <a:pt x="0" y="0"/>
                </a:cubicBezTo>
                <a:close/>
              </a:path>
            </a:pathLst>
          </a:custGeom>
          <a:gradFill>
            <a:gsLst>
              <a:gs pos="15000">
                <a:srgbClr val="FFF099"/>
              </a:gs>
              <a:gs pos="0">
                <a:srgbClr val="FFE967"/>
              </a:gs>
              <a:gs pos="13000">
                <a:srgbClr val="FFE967"/>
              </a:gs>
              <a:gs pos="100000">
                <a:srgbClr val="FFF099"/>
              </a:gs>
            </a:gsLst>
            <a:lin ang="5400000" scaled="1"/>
          </a:gra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de-DE" sz="1200" b="1" baseline="0">
              <a:solidFill>
                <a:schemeClr val="tx1"/>
              </a:solidFill>
              <a:latin typeface="Bradley Hand ITC" panose="03070402050302030203" pitchFamily="66" charset="0"/>
            </a:endParaRPr>
          </a:p>
        </xdr:txBody>
      </xdr:sp>
      <xdr:sp macro="" textlink="">
        <xdr:nvSpPr>
          <xdr:cNvPr id="27" name="Schrift">
            <a:extLst>
              <a:ext uri="{FF2B5EF4-FFF2-40B4-BE49-F238E27FC236}">
                <a16:creationId xmlns:a16="http://schemas.microsoft.com/office/drawing/2014/main" id="{F193AA04-0F7D-4F1C-8CAA-4EA8D94B196A}"/>
              </a:ext>
            </a:extLst>
          </xdr:cNvPr>
          <xdr:cNvSpPr/>
        </xdr:nvSpPr>
        <xdr:spPr>
          <a:xfrm>
            <a:off x="5840914" y="1766449"/>
            <a:ext cx="3540069" cy="2759650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560000" h="5760000">
                <a:moveTo>
                  <a:pt x="0" y="0"/>
                </a:moveTo>
                <a:lnTo>
                  <a:pt x="7560000" y="0"/>
                </a:lnTo>
                <a:lnTo>
                  <a:pt x="7560000" y="5760000"/>
                </a:lnTo>
                <a:cubicBezTo>
                  <a:pt x="5040000" y="5760000"/>
                  <a:pt x="1806418" y="5635232"/>
                  <a:pt x="226503" y="5472035"/>
                </a:cubicBezTo>
                <a:cubicBezTo>
                  <a:pt x="117398" y="4014372"/>
                  <a:pt x="0" y="1920000"/>
                  <a:pt x="0" y="0"/>
                </a:cubicBezTo>
                <a:close/>
              </a:path>
            </a:pathLst>
          </a:custGeom>
          <a:gradFill>
            <a:gsLst>
              <a:gs pos="71000">
                <a:srgbClr val="FFEA6F">
                  <a:alpha val="0"/>
                </a:srgbClr>
              </a:gs>
              <a:gs pos="81000">
                <a:srgbClr val="FFEA69"/>
              </a:gs>
              <a:gs pos="12000">
                <a:srgbClr val="FFF099">
                  <a:alpha val="0"/>
                </a:srgbClr>
              </a:gs>
              <a:gs pos="0">
                <a:srgbClr val="FFE967">
                  <a:alpha val="0"/>
                </a:srgbClr>
              </a:gs>
              <a:gs pos="11000">
                <a:srgbClr val="FFE967">
                  <a:alpha val="0"/>
                </a:srgbClr>
              </a:gs>
              <a:gs pos="100000">
                <a:srgbClr val="FCD800"/>
              </a:gs>
            </a:gsLst>
            <a:lin ang="7200000" scaled="0"/>
          </a:gra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1200" b="1" baseline="0">
                <a:solidFill>
                  <a:schemeClr val="tx1"/>
                </a:solidFill>
                <a:latin typeface="Bradley Hand ITC" panose="03070402050302030203" pitchFamily="66" charset="0"/>
              </a:rPr>
              <a:t>Tipp: Alle Eingaben ohne Einheit;</a:t>
            </a:r>
            <a:r>
              <a:rPr lang="de-DE" sz="600" b="1" baseline="0">
                <a:solidFill>
                  <a:schemeClr val="tx1"/>
                </a:solidFill>
                <a:latin typeface="Bradley Hand ITC" panose="03070402050302030203" pitchFamily="66" charset="0"/>
              </a:rPr>
              <a:t/>
            </a:r>
            <a:br>
              <a:rPr lang="de-DE" sz="600" b="1" baseline="0">
                <a:solidFill>
                  <a:schemeClr val="tx1"/>
                </a:solidFill>
                <a:latin typeface="Bradley Hand ITC" panose="03070402050302030203" pitchFamily="66" charset="0"/>
              </a:rPr>
            </a:br>
            <a:r>
              <a:rPr lang="de-DE" sz="600" b="1" baseline="0">
                <a:solidFill>
                  <a:schemeClr val="tx1"/>
                </a:solidFill>
                <a:latin typeface="Bradley Hand ITC" panose="03070402050302030203" pitchFamily="66" charset="0"/>
              </a:rPr>
              <a:t/>
            </a:r>
            <a:br>
              <a:rPr lang="de-DE" sz="600" b="1" baseline="0">
                <a:solidFill>
                  <a:schemeClr val="tx1"/>
                </a:solidFill>
                <a:latin typeface="Bradley Hand ITC" panose="03070402050302030203" pitchFamily="66" charset="0"/>
              </a:rPr>
            </a:br>
            <a:r>
              <a:rPr lang="de-DE" sz="1200" b="1" baseline="0">
                <a:solidFill>
                  <a:schemeClr val="tx1"/>
                </a:solidFill>
                <a:latin typeface="Bradley Hand ITC" panose="03070402050302030203" pitchFamily="66" charset="0"/>
              </a:rPr>
              <a:t>Einheiten erscheinen automatisch</a:t>
            </a:r>
          </a:p>
        </xdr:txBody>
      </xdr:sp>
    </xdr:grpSp>
    <xdr:clientData/>
  </xdr:twoCellAnchor>
  <xdr:twoCellAnchor>
    <xdr:from>
      <xdr:col>4</xdr:col>
      <xdr:colOff>1702360</xdr:colOff>
      <xdr:row>28</xdr:row>
      <xdr:rowOff>184857</xdr:rowOff>
    </xdr:from>
    <xdr:to>
      <xdr:col>5</xdr:col>
      <xdr:colOff>327546</xdr:colOff>
      <xdr:row>36</xdr:row>
      <xdr:rowOff>172613</xdr:rowOff>
    </xdr:to>
    <xdr:grpSp>
      <xdr:nvGrpSpPr>
        <xdr:cNvPr id="21" name="PowePoint-post-it">
          <a:extLst>
            <a:ext uri="{FF2B5EF4-FFF2-40B4-BE49-F238E27FC236}">
              <a16:creationId xmlns:a16="http://schemas.microsoft.com/office/drawing/2014/main" id="{1D5B3744-C0FD-4A85-A04F-D6562BBF6CA3}"/>
            </a:ext>
          </a:extLst>
        </xdr:cNvPr>
        <xdr:cNvGrpSpPr/>
      </xdr:nvGrpSpPr>
      <xdr:grpSpPr>
        <a:xfrm rot="21352884">
          <a:off x="6493435" y="6804732"/>
          <a:ext cx="1673186" cy="1559381"/>
          <a:chOff x="5840914" y="1766450"/>
          <a:chExt cx="3540069" cy="2759651"/>
        </a:xfrm>
      </xdr:grpSpPr>
      <xdr:sp macro="" textlink="">
        <xdr:nvSpPr>
          <xdr:cNvPr id="22" name="Schatten">
            <a:extLst>
              <a:ext uri="{FF2B5EF4-FFF2-40B4-BE49-F238E27FC236}">
                <a16:creationId xmlns:a16="http://schemas.microsoft.com/office/drawing/2014/main" id="{79795AF0-EC55-4613-9E9E-702C10578E50}"/>
              </a:ext>
            </a:extLst>
          </xdr:cNvPr>
          <xdr:cNvSpPr/>
        </xdr:nvSpPr>
        <xdr:spPr>
          <a:xfrm>
            <a:off x="5930375" y="1837887"/>
            <a:ext cx="3341069" cy="2580982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103896 w 7368949"/>
              <a:gd name="connsiteY0" fmla="*/ 208749 h 5760000"/>
              <a:gd name="connsiteX1" fmla="*/ 7368949 w 7368949"/>
              <a:gd name="connsiteY1" fmla="*/ 0 h 5760000"/>
              <a:gd name="connsiteX2" fmla="*/ 7368949 w 7368949"/>
              <a:gd name="connsiteY2" fmla="*/ 5760000 h 5760000"/>
              <a:gd name="connsiteX3" fmla="*/ 35452 w 7368949"/>
              <a:gd name="connsiteY3" fmla="*/ 5472035 h 5760000"/>
              <a:gd name="connsiteX4" fmla="*/ 103896 w 7368949"/>
              <a:gd name="connsiteY4" fmla="*/ 208749 h 5760000"/>
              <a:gd name="connsiteX0" fmla="*/ 103896 w 7368949"/>
              <a:gd name="connsiteY0" fmla="*/ 59644 h 5610895"/>
              <a:gd name="connsiteX1" fmla="*/ 7135025 w 7368949"/>
              <a:gd name="connsiteY1" fmla="*/ 0 h 5610895"/>
              <a:gd name="connsiteX2" fmla="*/ 7368949 w 7368949"/>
              <a:gd name="connsiteY2" fmla="*/ 5610895 h 5610895"/>
              <a:gd name="connsiteX3" fmla="*/ 35452 w 7368949"/>
              <a:gd name="connsiteY3" fmla="*/ 5322930 h 5610895"/>
              <a:gd name="connsiteX4" fmla="*/ 103896 w 7368949"/>
              <a:gd name="connsiteY4" fmla="*/ 59644 h 5610895"/>
              <a:gd name="connsiteX0" fmla="*/ 103896 w 7206220"/>
              <a:gd name="connsiteY0" fmla="*/ 59644 h 5463072"/>
              <a:gd name="connsiteX1" fmla="*/ 7135025 w 7206220"/>
              <a:gd name="connsiteY1" fmla="*/ 0 h 5463072"/>
              <a:gd name="connsiteX2" fmla="*/ 7206220 w 7206220"/>
              <a:gd name="connsiteY2" fmla="*/ 5461788 h 5463072"/>
              <a:gd name="connsiteX3" fmla="*/ 35452 w 7206220"/>
              <a:gd name="connsiteY3" fmla="*/ 5322930 h 5463072"/>
              <a:gd name="connsiteX4" fmla="*/ 103896 w 7206220"/>
              <a:gd name="connsiteY4" fmla="*/ 59644 h 5463072"/>
              <a:gd name="connsiteX0" fmla="*/ 103896 w 7135025"/>
              <a:gd name="connsiteY0" fmla="*/ 59644 h 5386354"/>
              <a:gd name="connsiteX1" fmla="*/ 7135025 w 7135025"/>
              <a:gd name="connsiteY1" fmla="*/ 0 h 5386354"/>
              <a:gd name="connsiteX2" fmla="*/ 7053660 w 7135025"/>
              <a:gd name="connsiteY2" fmla="*/ 5282861 h 5386354"/>
              <a:gd name="connsiteX3" fmla="*/ 35452 w 7135025"/>
              <a:gd name="connsiteY3" fmla="*/ 5322930 h 5386354"/>
              <a:gd name="connsiteX4" fmla="*/ 103896 w 7135025"/>
              <a:gd name="connsiteY4" fmla="*/ 59644 h 5386354"/>
              <a:gd name="connsiteX0" fmla="*/ 103896 w 7135025"/>
              <a:gd name="connsiteY0" fmla="*/ 59644 h 5358471"/>
              <a:gd name="connsiteX1" fmla="*/ 7135025 w 7135025"/>
              <a:gd name="connsiteY1" fmla="*/ 0 h 5358471"/>
              <a:gd name="connsiteX2" fmla="*/ 6555304 w 7135025"/>
              <a:gd name="connsiteY2" fmla="*/ 5034353 h 5358471"/>
              <a:gd name="connsiteX3" fmla="*/ 35452 w 7135025"/>
              <a:gd name="connsiteY3" fmla="*/ 5322930 h 5358471"/>
              <a:gd name="connsiteX4" fmla="*/ 103896 w 7135025"/>
              <a:gd name="connsiteY4" fmla="*/ 59644 h 5358471"/>
              <a:gd name="connsiteX0" fmla="*/ 103896 w 7135025"/>
              <a:gd name="connsiteY0" fmla="*/ 59644 h 5369028"/>
              <a:gd name="connsiteX1" fmla="*/ 7135025 w 7135025"/>
              <a:gd name="connsiteY1" fmla="*/ 0 h 5369028"/>
              <a:gd name="connsiteX2" fmla="*/ 6697692 w 7135025"/>
              <a:gd name="connsiteY2" fmla="*/ 5163577 h 5369028"/>
              <a:gd name="connsiteX3" fmla="*/ 35452 w 7135025"/>
              <a:gd name="connsiteY3" fmla="*/ 5322930 h 5369028"/>
              <a:gd name="connsiteX4" fmla="*/ 103896 w 7135025"/>
              <a:gd name="connsiteY4" fmla="*/ 59644 h 5369028"/>
              <a:gd name="connsiteX0" fmla="*/ 103896 w 7135025"/>
              <a:gd name="connsiteY0" fmla="*/ 59644 h 5407427"/>
              <a:gd name="connsiteX1" fmla="*/ 7135025 w 7135025"/>
              <a:gd name="connsiteY1" fmla="*/ 0 h 5407427"/>
              <a:gd name="connsiteX2" fmla="*/ 6697692 w 7135025"/>
              <a:gd name="connsiteY2" fmla="*/ 5163577 h 5407427"/>
              <a:gd name="connsiteX3" fmla="*/ 35452 w 7135025"/>
              <a:gd name="connsiteY3" fmla="*/ 5322930 h 5407427"/>
              <a:gd name="connsiteX4" fmla="*/ 103896 w 7135025"/>
              <a:gd name="connsiteY4" fmla="*/ 59644 h 5407427"/>
              <a:gd name="connsiteX0" fmla="*/ 103896 w 7135025"/>
              <a:gd name="connsiteY0" fmla="*/ 59644 h 5387079"/>
              <a:gd name="connsiteX1" fmla="*/ 7135025 w 7135025"/>
              <a:gd name="connsiteY1" fmla="*/ 0 h 5387079"/>
              <a:gd name="connsiteX2" fmla="*/ 6697692 w 7135025"/>
              <a:gd name="connsiteY2" fmla="*/ 5163577 h 5387079"/>
              <a:gd name="connsiteX3" fmla="*/ 35452 w 7135025"/>
              <a:gd name="connsiteY3" fmla="*/ 5322930 h 5387079"/>
              <a:gd name="connsiteX4" fmla="*/ 103896 w 7135025"/>
              <a:gd name="connsiteY4" fmla="*/ 59644 h 5387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135025" h="5387079">
                <a:moveTo>
                  <a:pt x="103896" y="59644"/>
                </a:moveTo>
                <a:lnTo>
                  <a:pt x="7135025" y="0"/>
                </a:lnTo>
                <a:lnTo>
                  <a:pt x="6697692" y="5163577"/>
                </a:lnTo>
                <a:cubicBezTo>
                  <a:pt x="4187861" y="5302742"/>
                  <a:pt x="1615367" y="5486127"/>
                  <a:pt x="35452" y="5322930"/>
                </a:cubicBezTo>
                <a:cubicBezTo>
                  <a:pt x="-73653" y="3865267"/>
                  <a:pt x="103896" y="1979644"/>
                  <a:pt x="103896" y="59644"/>
                </a:cubicBezTo>
                <a:close/>
              </a:path>
            </a:pathLst>
          </a:custGeom>
          <a:solidFill>
            <a:schemeClr val="bg1">
              <a:lumMod val="85000"/>
            </a:schemeClr>
          </a:solidFill>
          <a:ln>
            <a:noFill/>
          </a:ln>
          <a:effectLst>
            <a:outerShdw blurRad="127000" dist="25400" dir="72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1200" b="1" baseline="0">
                <a:solidFill>
                  <a:schemeClr val="tx1"/>
                </a:solidFill>
                <a:latin typeface="Bradley Hand ITC" panose="03070402050302030203" pitchFamily="66" charset="0"/>
              </a:rPr>
              <a:t>Schatten </a:t>
            </a:r>
            <a:r>
              <a:rPr lang="de-DE" sz="1200" b="1" baseline="0">
                <a:solidFill>
                  <a:schemeClr val="tx1"/>
                </a:solidFill>
                <a:latin typeface="Bradley Hand ITC" panose="03070402050302030203" pitchFamily="66" charset="0"/>
                <a:sym typeface="Wingdings" panose="05000000000000000000" pitchFamily="2" charset="2"/>
              </a:rPr>
              <a:t></a:t>
            </a:r>
            <a:endParaRPr lang="de-DE" sz="1200" b="1" baseline="0">
              <a:solidFill>
                <a:schemeClr val="tx1"/>
              </a:solidFill>
              <a:latin typeface="Bradley Hand ITC" panose="03070402050302030203" pitchFamily="66" charset="0"/>
            </a:endParaRPr>
          </a:p>
        </xdr:txBody>
      </xdr:sp>
      <xdr:sp macro="" textlink="">
        <xdr:nvSpPr>
          <xdr:cNvPr id="23" name="Farbe">
            <a:extLst>
              <a:ext uri="{FF2B5EF4-FFF2-40B4-BE49-F238E27FC236}">
                <a16:creationId xmlns:a16="http://schemas.microsoft.com/office/drawing/2014/main" id="{925BF330-872B-442F-AEE6-E718BF1ECCFD}"/>
              </a:ext>
            </a:extLst>
          </xdr:cNvPr>
          <xdr:cNvSpPr/>
        </xdr:nvSpPr>
        <xdr:spPr>
          <a:xfrm>
            <a:off x="5840914" y="1766450"/>
            <a:ext cx="3540069" cy="2759651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560000" h="5760000">
                <a:moveTo>
                  <a:pt x="0" y="0"/>
                </a:moveTo>
                <a:lnTo>
                  <a:pt x="7560000" y="0"/>
                </a:lnTo>
                <a:lnTo>
                  <a:pt x="7560000" y="5760000"/>
                </a:lnTo>
                <a:cubicBezTo>
                  <a:pt x="5040000" y="5760000"/>
                  <a:pt x="1806418" y="5635232"/>
                  <a:pt x="226503" y="5472035"/>
                </a:cubicBezTo>
                <a:cubicBezTo>
                  <a:pt x="117398" y="4014372"/>
                  <a:pt x="0" y="1920000"/>
                  <a:pt x="0" y="0"/>
                </a:cubicBezTo>
                <a:close/>
              </a:path>
            </a:pathLst>
          </a:custGeom>
          <a:gradFill>
            <a:gsLst>
              <a:gs pos="15000">
                <a:srgbClr val="99ECFF"/>
              </a:gs>
              <a:gs pos="0">
                <a:srgbClr val="67E2FF"/>
              </a:gs>
              <a:gs pos="13000">
                <a:srgbClr val="67E2FF"/>
              </a:gs>
              <a:gs pos="100000">
                <a:srgbClr val="99ECFF"/>
              </a:gs>
            </a:gsLst>
            <a:lin ang="5400000" scaled="1"/>
          </a:gra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de-DE" sz="1200" b="1" baseline="0">
              <a:solidFill>
                <a:schemeClr val="tx1"/>
              </a:solidFill>
              <a:latin typeface="Bradley Hand ITC" panose="03070402050302030203" pitchFamily="66" charset="0"/>
            </a:endParaRPr>
          </a:p>
        </xdr:txBody>
      </xdr:sp>
      <xdr:sp macro="" textlink="">
        <xdr:nvSpPr>
          <xdr:cNvPr id="24" name="Schrift">
            <a:extLst>
              <a:ext uri="{FF2B5EF4-FFF2-40B4-BE49-F238E27FC236}">
                <a16:creationId xmlns:a16="http://schemas.microsoft.com/office/drawing/2014/main" id="{E90CD793-4304-477C-A46D-0EFD18BBB046}"/>
              </a:ext>
            </a:extLst>
          </xdr:cNvPr>
          <xdr:cNvSpPr/>
        </xdr:nvSpPr>
        <xdr:spPr>
          <a:xfrm>
            <a:off x="5840914" y="1766450"/>
            <a:ext cx="3540069" cy="2759651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560000" h="5760000">
                <a:moveTo>
                  <a:pt x="0" y="0"/>
                </a:moveTo>
                <a:lnTo>
                  <a:pt x="7560000" y="0"/>
                </a:lnTo>
                <a:lnTo>
                  <a:pt x="7560000" y="5760000"/>
                </a:lnTo>
                <a:cubicBezTo>
                  <a:pt x="5040000" y="5760000"/>
                  <a:pt x="1806418" y="5635232"/>
                  <a:pt x="226503" y="5472035"/>
                </a:cubicBezTo>
                <a:cubicBezTo>
                  <a:pt x="117398" y="4014372"/>
                  <a:pt x="0" y="1920000"/>
                  <a:pt x="0" y="0"/>
                </a:cubicBezTo>
                <a:close/>
              </a:path>
            </a:pathLst>
          </a:custGeom>
          <a:gradFill>
            <a:gsLst>
              <a:gs pos="71000">
                <a:srgbClr val="6FE4FF">
                  <a:alpha val="0"/>
                </a:srgbClr>
              </a:gs>
              <a:gs pos="81000">
                <a:srgbClr val="69E2FF"/>
              </a:gs>
              <a:gs pos="12000">
                <a:srgbClr val="99ECFF">
                  <a:alpha val="0"/>
                </a:srgbClr>
              </a:gs>
              <a:gs pos="0">
                <a:srgbClr val="67E2FF">
                  <a:alpha val="0"/>
                </a:srgbClr>
              </a:gs>
              <a:gs pos="11000">
                <a:srgbClr val="67E2FF">
                  <a:alpha val="0"/>
                </a:srgbClr>
              </a:gs>
              <a:gs pos="100000">
                <a:srgbClr val="00CCFC"/>
              </a:gs>
            </a:gsLst>
            <a:lin ang="7200000" scaled="0"/>
          </a:gra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1200" b="1">
                <a:solidFill>
                  <a:schemeClr val="tx1"/>
                </a:solidFill>
                <a:latin typeface="Bradley Hand ITC" panose="03070402050302030203" pitchFamily="66" charset="0"/>
              </a:rPr>
              <a:t>Tipp:</a:t>
            </a:r>
            <a:r>
              <a:rPr lang="de-DE" sz="1200" b="1" baseline="0">
                <a:solidFill>
                  <a:schemeClr val="tx1"/>
                </a:solidFill>
                <a:latin typeface="Bradley Hand ITC" panose="03070402050302030203" pitchFamily="66" charset="0"/>
              </a:rPr>
              <a:t> Einsparungen sind negative Kosten</a:t>
            </a:r>
            <a:r>
              <a:rPr lang="de-DE" sz="600" b="1" baseline="0">
                <a:solidFill>
                  <a:schemeClr val="tx1"/>
                </a:solidFill>
                <a:latin typeface="Bradley Hand ITC" panose="03070402050302030203" pitchFamily="66" charset="0"/>
              </a:rPr>
              <a:t/>
            </a:r>
            <a:br>
              <a:rPr lang="de-DE" sz="600" b="1" baseline="0">
                <a:solidFill>
                  <a:schemeClr val="tx1"/>
                </a:solidFill>
                <a:latin typeface="Bradley Hand ITC" panose="03070402050302030203" pitchFamily="66" charset="0"/>
              </a:rPr>
            </a:br>
            <a:r>
              <a:rPr lang="de-DE" sz="600" b="1" baseline="0">
                <a:solidFill>
                  <a:schemeClr val="tx1"/>
                </a:solidFill>
                <a:latin typeface="Bradley Hand ITC" panose="03070402050302030203" pitchFamily="66" charset="0"/>
              </a:rPr>
              <a:t/>
            </a:r>
            <a:br>
              <a:rPr lang="de-DE" sz="600" b="1" baseline="0">
                <a:solidFill>
                  <a:schemeClr val="tx1"/>
                </a:solidFill>
                <a:latin typeface="Bradley Hand ITC" panose="03070402050302030203" pitchFamily="66" charset="0"/>
              </a:rPr>
            </a:br>
            <a:r>
              <a:rPr lang="de-DE" sz="1200" b="1" baseline="0">
                <a:solidFill>
                  <a:schemeClr val="tx1"/>
                </a:solidFill>
                <a:latin typeface="Bradley Hand ITC" panose="03070402050302030203" pitchFamily="66" charset="0"/>
              </a:rPr>
              <a:t>z.B.: -7000 €/Jahr in Zelle D26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buuunt">
      <a:dk1>
        <a:sysClr val="windowText" lastClr="000000"/>
      </a:dk1>
      <a:lt1>
        <a:sysClr val="window" lastClr="FFFFFF"/>
      </a:lt1>
      <a:dk2>
        <a:srgbClr val="7F7F7F"/>
      </a:dk2>
      <a:lt2>
        <a:srgbClr val="E7E6E6"/>
      </a:lt2>
      <a:accent1>
        <a:srgbClr val="0000FF"/>
      </a:accent1>
      <a:accent2>
        <a:srgbClr val="7030A0"/>
      </a:accent2>
      <a:accent3>
        <a:srgbClr val="FF0000"/>
      </a:accent3>
      <a:accent4>
        <a:srgbClr val="FF9900"/>
      </a:accent4>
      <a:accent5>
        <a:srgbClr val="FFFF00"/>
      </a:accent5>
      <a:accent6>
        <a:srgbClr val="00B050"/>
      </a:accent6>
      <a:hlink>
        <a:srgbClr val="0000FF"/>
      </a:hlink>
      <a:folHlink>
        <a:srgbClr val="7F7F7F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3:I31"/>
  <sheetViews>
    <sheetView tabSelected="1" zoomScaleNormal="100" workbookViewId="0">
      <selection activeCell="D14" sqref="D14"/>
    </sheetView>
  </sheetViews>
  <sheetFormatPr baseColWidth="10" defaultColWidth="9.140625" defaultRowHeight="15" x14ac:dyDescent="0.25"/>
  <cols>
    <col min="1" max="1" width="8.140625" style="137" customWidth="1"/>
    <col min="2" max="2" width="5.140625" style="137" customWidth="1"/>
    <col min="3" max="3" width="44.28515625" style="137" bestFit="1" customWidth="1"/>
    <col min="4" max="4" width="14.28515625" style="137" customWidth="1"/>
    <col min="5" max="5" width="45.7109375" style="137" customWidth="1"/>
    <col min="6" max="6" width="14.28515625" style="137" customWidth="1"/>
    <col min="7" max="7" width="38.7109375" style="137" bestFit="1" customWidth="1"/>
    <col min="8" max="8" width="14.28515625" style="137" customWidth="1"/>
    <col min="9" max="9" width="38.7109375" style="137" bestFit="1" customWidth="1"/>
    <col min="10" max="16384" width="9.140625" style="137"/>
  </cols>
  <sheetData>
    <row r="3" spans="1:6" ht="19.899999999999999" customHeight="1" x14ac:dyDescent="0.25">
      <c r="B3" s="64" t="s">
        <v>53</v>
      </c>
      <c r="C3" s="68"/>
      <c r="D3" s="68"/>
      <c r="E3" s="69"/>
    </row>
    <row r="4" spans="1:6" ht="19.899999999999999" customHeight="1" x14ac:dyDescent="0.25">
      <c r="B4" s="158" t="s">
        <v>31</v>
      </c>
      <c r="C4" s="156"/>
      <c r="D4" s="157" t="s">
        <v>32</v>
      </c>
      <c r="E4" s="157" t="s">
        <v>33</v>
      </c>
    </row>
    <row r="5" spans="1:6" ht="19.149999999999999" customHeight="1" x14ac:dyDescent="0.25">
      <c r="B5" s="138" t="s">
        <v>11</v>
      </c>
      <c r="C5" s="139" t="s">
        <v>18</v>
      </c>
      <c r="D5" s="123" t="s">
        <v>1</v>
      </c>
      <c r="E5" s="85" t="s">
        <v>2</v>
      </c>
    </row>
    <row r="6" spans="1:6" ht="19.149999999999999" customHeight="1" x14ac:dyDescent="0.25">
      <c r="B6" s="140" t="s">
        <v>12</v>
      </c>
      <c r="C6" s="141" t="s">
        <v>19</v>
      </c>
      <c r="D6" s="81">
        <v>6000</v>
      </c>
      <c r="E6" s="85" t="s">
        <v>3</v>
      </c>
    </row>
    <row r="7" spans="1:6" ht="19.149999999999999" customHeight="1" x14ac:dyDescent="0.25">
      <c r="B7" s="140" t="s">
        <v>13</v>
      </c>
      <c r="C7" s="141" t="s">
        <v>20</v>
      </c>
      <c r="D7" s="82">
        <v>4</v>
      </c>
      <c r="E7" s="85" t="s">
        <v>4</v>
      </c>
    </row>
    <row r="8" spans="1:6" ht="19.149999999999999" customHeight="1" x14ac:dyDescent="0.25">
      <c r="B8" s="140" t="s">
        <v>14</v>
      </c>
      <c r="C8" s="141" t="s">
        <v>21</v>
      </c>
      <c r="D8" s="81">
        <v>500</v>
      </c>
      <c r="E8" s="85" t="s">
        <v>64</v>
      </c>
    </row>
    <row r="9" spans="1:6" ht="19.149999999999999" customHeight="1" x14ac:dyDescent="0.25">
      <c r="B9" s="140" t="s">
        <v>15</v>
      </c>
      <c r="C9" s="141" t="s">
        <v>22</v>
      </c>
      <c r="D9" s="81">
        <v>10000</v>
      </c>
      <c r="E9" s="85" t="s">
        <v>5</v>
      </c>
    </row>
    <row r="10" spans="1:6" ht="19.149999999999999" customHeight="1" x14ac:dyDescent="0.25">
      <c r="B10" s="140" t="s">
        <v>16</v>
      </c>
      <c r="C10" s="141" t="s">
        <v>23</v>
      </c>
      <c r="D10" s="83">
        <v>4500</v>
      </c>
      <c r="E10" s="86" t="s">
        <v>6</v>
      </c>
    </row>
    <row r="11" spans="1:6" ht="19.149999999999999" customHeight="1" x14ac:dyDescent="0.25">
      <c r="B11" s="140" t="s">
        <v>43</v>
      </c>
      <c r="C11" s="141" t="s">
        <v>49</v>
      </c>
      <c r="D11" s="84">
        <v>10</v>
      </c>
      <c r="E11" s="85" t="s">
        <v>74</v>
      </c>
    </row>
    <row r="12" spans="1:6" ht="19.149999999999999" customHeight="1" x14ac:dyDescent="0.25">
      <c r="B12" s="4" t="s">
        <v>57</v>
      </c>
      <c r="C12" s="6" t="str">
        <f>"Ergibt Gesamtkosten nach "&amp;D14&amp;" Jahren:"</f>
        <v>Ergibt Gesamtkosten nach 20 Jahren:</v>
      </c>
      <c r="D12" s="103">
        <f>VLOOKUP($D$14-1,mathe!$R$8:$V$58,2,FALSE)</f>
        <v>159371.04959125965</v>
      </c>
      <c r="E12" s="104" t="s">
        <v>58</v>
      </c>
    </row>
    <row r="13" spans="1:6" ht="19.149999999999999" customHeight="1" x14ac:dyDescent="0.25">
      <c r="A13" s="142"/>
      <c r="B13" s="143"/>
      <c r="C13" s="144"/>
      <c r="D13" s="145"/>
      <c r="E13" s="146"/>
      <c r="F13" s="142"/>
    </row>
    <row r="14" spans="1:6" ht="19.149999999999999" customHeight="1" x14ac:dyDescent="0.25">
      <c r="B14" s="138" t="s">
        <v>59</v>
      </c>
      <c r="C14" s="139" t="s">
        <v>24</v>
      </c>
      <c r="D14" s="87">
        <v>20</v>
      </c>
      <c r="E14" s="88" t="s">
        <v>7</v>
      </c>
    </row>
    <row r="15" spans="1:6" ht="19.149999999999999" customHeight="1" x14ac:dyDescent="0.25">
      <c r="B15" s="147"/>
      <c r="C15" s="148"/>
      <c r="D15" s="135"/>
      <c r="E15" s="136"/>
    </row>
    <row r="16" spans="1:6" ht="19.149999999999999" customHeight="1" x14ac:dyDescent="0.25">
      <c r="B16" s="138" t="s">
        <v>61</v>
      </c>
      <c r="C16" s="139" t="s">
        <v>60</v>
      </c>
      <c r="D16" s="134">
        <v>4</v>
      </c>
      <c r="E16" s="155"/>
    </row>
    <row r="17" spans="1:9" ht="18.600000000000001" customHeight="1" x14ac:dyDescent="0.25">
      <c r="A17" s="142"/>
      <c r="B17" s="149"/>
      <c r="C17" s="148"/>
      <c r="D17" s="150"/>
      <c r="E17" s="151"/>
    </row>
    <row r="18" spans="1:9" ht="19.899999999999999" customHeight="1" x14ac:dyDescent="0.25">
      <c r="A18" s="142"/>
      <c r="B18" s="152"/>
      <c r="C18" s="142"/>
      <c r="D18" s="150"/>
      <c r="E18" s="151"/>
    </row>
    <row r="19" spans="1:9" ht="19.899999999999999" customHeight="1" x14ac:dyDescent="0.25">
      <c r="A19" s="142"/>
      <c r="B19" s="64" t="s">
        <v>54</v>
      </c>
      <c r="C19" s="65"/>
      <c r="D19" s="66"/>
      <c r="E19" s="67"/>
      <c r="F19" s="92"/>
      <c r="G19" s="92"/>
      <c r="H19" s="92"/>
      <c r="I19" s="93"/>
    </row>
    <row r="20" spans="1:9" ht="19.899999999999999" customHeight="1" x14ac:dyDescent="0.25">
      <c r="A20" s="142"/>
      <c r="B20" s="165"/>
      <c r="C20" s="166"/>
      <c r="D20" s="89" t="s">
        <v>34</v>
      </c>
      <c r="E20" s="90"/>
      <c r="F20" s="99" t="s">
        <v>35</v>
      </c>
      <c r="G20" s="100"/>
      <c r="H20" s="101" t="s">
        <v>36</v>
      </c>
      <c r="I20" s="102"/>
    </row>
    <row r="21" spans="1:9" ht="19.899999999999999" customHeight="1" x14ac:dyDescent="0.25">
      <c r="A21" s="142"/>
      <c r="B21" s="167"/>
      <c r="C21" s="168"/>
      <c r="D21" s="159" t="s">
        <v>55</v>
      </c>
      <c r="E21" s="160" t="s">
        <v>56</v>
      </c>
      <c r="F21" s="161" t="s">
        <v>55</v>
      </c>
      <c r="G21" s="162" t="s">
        <v>56</v>
      </c>
      <c r="H21" s="163" t="s">
        <v>55</v>
      </c>
      <c r="I21" s="164" t="s">
        <v>56</v>
      </c>
    </row>
    <row r="22" spans="1:9" ht="18.75" customHeight="1" x14ac:dyDescent="0.25">
      <c r="B22" s="138" t="s">
        <v>17</v>
      </c>
      <c r="C22" s="153" t="s">
        <v>25</v>
      </c>
      <c r="D22" s="117" t="s">
        <v>1</v>
      </c>
      <c r="E22" s="91" t="s">
        <v>8</v>
      </c>
      <c r="F22" s="119" t="s">
        <v>1</v>
      </c>
      <c r="G22" s="97" t="s">
        <v>8</v>
      </c>
      <c r="H22" s="121" t="s">
        <v>1</v>
      </c>
      <c r="I22" s="98" t="s">
        <v>8</v>
      </c>
    </row>
    <row r="23" spans="1:9" ht="19.149999999999999" customHeight="1" x14ac:dyDescent="0.25">
      <c r="B23" s="140" t="s">
        <v>12</v>
      </c>
      <c r="C23" s="144" t="s">
        <v>26</v>
      </c>
      <c r="D23" s="118" t="s">
        <v>1</v>
      </c>
      <c r="E23" s="73" t="s">
        <v>66</v>
      </c>
      <c r="F23" s="120" t="s">
        <v>1</v>
      </c>
      <c r="G23" s="77" t="s">
        <v>65</v>
      </c>
      <c r="H23" s="122" t="s">
        <v>1</v>
      </c>
      <c r="I23" s="96" t="s">
        <v>67</v>
      </c>
    </row>
    <row r="24" spans="1:9" ht="19.149999999999999" customHeight="1" x14ac:dyDescent="0.25">
      <c r="B24" s="140" t="s">
        <v>13</v>
      </c>
      <c r="C24" s="144" t="s">
        <v>27</v>
      </c>
      <c r="D24" s="70">
        <v>32000</v>
      </c>
      <c r="E24" s="73" t="s">
        <v>9</v>
      </c>
      <c r="F24" s="74">
        <v>22000</v>
      </c>
      <c r="G24" s="77" t="s">
        <v>9</v>
      </c>
      <c r="H24" s="94">
        <v>42000</v>
      </c>
      <c r="I24" s="95" t="s">
        <v>9</v>
      </c>
    </row>
    <row r="25" spans="1:9" ht="19.149999999999999" customHeight="1" x14ac:dyDescent="0.25">
      <c r="B25" s="140" t="s">
        <v>14</v>
      </c>
      <c r="C25" s="144" t="s">
        <v>28</v>
      </c>
      <c r="D25" s="71">
        <v>4000</v>
      </c>
      <c r="E25" s="73" t="s">
        <v>68</v>
      </c>
      <c r="F25" s="75">
        <v>3700</v>
      </c>
      <c r="G25" s="77" t="s">
        <v>70</v>
      </c>
      <c r="H25" s="78">
        <v>5200</v>
      </c>
      <c r="I25" s="80" t="s">
        <v>69</v>
      </c>
    </row>
    <row r="26" spans="1:9" ht="19.149999999999999" customHeight="1" x14ac:dyDescent="0.25">
      <c r="B26" s="140" t="s">
        <v>15</v>
      </c>
      <c r="C26" s="144" t="s">
        <v>29</v>
      </c>
      <c r="D26" s="71">
        <v>0</v>
      </c>
      <c r="E26" s="73"/>
      <c r="F26" s="75">
        <v>0</v>
      </c>
      <c r="G26" s="77"/>
      <c r="H26" s="78">
        <v>0</v>
      </c>
      <c r="I26" s="80"/>
    </row>
    <row r="27" spans="1:9" ht="19.149999999999999" customHeight="1" x14ac:dyDescent="0.25">
      <c r="B27" s="140" t="s">
        <v>16</v>
      </c>
      <c r="C27" s="144" t="s">
        <v>30</v>
      </c>
      <c r="D27" s="72">
        <v>10</v>
      </c>
      <c r="E27" s="73" t="s">
        <v>10</v>
      </c>
      <c r="F27" s="76">
        <v>10</v>
      </c>
      <c r="G27" s="77" t="s">
        <v>10</v>
      </c>
      <c r="H27" s="79">
        <v>10</v>
      </c>
      <c r="I27" s="80" t="s">
        <v>10</v>
      </c>
    </row>
    <row r="28" spans="1:9" ht="19.149999999999999" customHeight="1" x14ac:dyDescent="0.25">
      <c r="B28" s="140" t="s">
        <v>43</v>
      </c>
      <c r="C28" s="144" t="s">
        <v>44</v>
      </c>
      <c r="D28" s="105">
        <v>3200</v>
      </c>
      <c r="E28" s="106" t="s">
        <v>72</v>
      </c>
      <c r="F28" s="107">
        <v>2500</v>
      </c>
      <c r="G28" s="108" t="s">
        <v>45</v>
      </c>
      <c r="H28" s="109">
        <v>4100</v>
      </c>
      <c r="I28" s="110" t="s">
        <v>71</v>
      </c>
    </row>
    <row r="29" spans="1:9" ht="18.75" customHeight="1" x14ac:dyDescent="0.25">
      <c r="B29" s="4" t="s">
        <v>57</v>
      </c>
      <c r="C29" s="7" t="str">
        <f>"Ergibt Gesamtkosten nach "&amp;D14&amp;" Jahren:"</f>
        <v>Ergibt Gesamtkosten nach 20 Jahren:</v>
      </c>
      <c r="D29" s="111">
        <f>IF(mathe!$T$4=TRUE,VLOOKUP($D$14-1,mathe!$R$8:$V$58,3,FALSE),"–")</f>
        <v>179912.3143033419</v>
      </c>
      <c r="E29" s="112"/>
      <c r="F29" s="113">
        <f>IF(mathe!$U$4=TRUE,VLOOKUP($D$14-1,mathe!$R$8:$V$58,4,FALSE),"–")</f>
        <v>151678.89073059126</v>
      </c>
      <c r="G29" s="114"/>
      <c r="H29" s="115">
        <f>IF(mathe!$V$4=TRUE,VLOOKUP($D$14-1,mathe!$R$8:$V$58,5,FALSE),"–")</f>
        <v>234746.00859434452</v>
      </c>
      <c r="I29" s="116"/>
    </row>
    <row r="31" spans="1:9" x14ac:dyDescent="0.25">
      <c r="C31" s="154"/>
    </row>
  </sheetData>
  <sheetProtection sheet="1" objects="1" scenarios="1" formatColumns="0"/>
  <dataValidations count="2">
    <dataValidation type="whole" allowBlank="1" showInputMessage="1" showErrorMessage="1" sqref="D14:D15">
      <formula1>1</formula1>
      <formula2>50</formula2>
    </dataValidation>
    <dataValidation type="decimal" allowBlank="1" showInputMessage="1" showErrorMessage="1" sqref="D16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8"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locked="0"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locked="0" defaultSize="0" autoFill="0" autoLine="0" autoPict="0">
                <anchor moveWithCells="1">
                  <from>
                    <xdr:col>5</xdr:col>
                    <xdr:colOff>85725</xdr:colOff>
                    <xdr:row>18</xdr:row>
                    <xdr:rowOff>238125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locked="0" defaultSize="0" autoFill="0" autoLine="0" autoPict="0">
                <anchor moveWithCells="1">
                  <from>
                    <xdr:col>7</xdr:col>
                    <xdr:colOff>85725</xdr:colOff>
                    <xdr:row>19</xdr:row>
                    <xdr:rowOff>0</xdr:rowOff>
                  </from>
                  <to>
                    <xdr:col>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Check Box 11">
              <controlPr locked="0" defaultSize="0" autoFill="0" autoLine="0" autoPict="0">
                <anchor moveWithCells="1">
                  <from>
                    <xdr:col>5</xdr:col>
                    <xdr:colOff>85725</xdr:colOff>
                    <xdr:row>19</xdr:row>
                    <xdr:rowOff>0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locked="0" defaultSize="0" autoFill="0" autoLine="0" autoPict="0">
                <anchor moveWithCells="1">
                  <from>
                    <xdr:col>7</xdr:col>
                    <xdr:colOff>85725</xdr:colOff>
                    <xdr:row>19</xdr:row>
                    <xdr:rowOff>0</xdr:rowOff>
                  </from>
                  <to>
                    <xdr:col>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2:AF58"/>
  <sheetViews>
    <sheetView zoomScale="115" zoomScaleNormal="115" workbookViewId="0">
      <selection activeCell="S17" sqref="S17"/>
    </sheetView>
  </sheetViews>
  <sheetFormatPr baseColWidth="10" defaultColWidth="9.140625" defaultRowHeight="15" x14ac:dyDescent="0.25"/>
  <cols>
    <col min="1" max="2" width="9.140625" style="1"/>
    <col min="3" max="3" width="4.28515625" style="1" bestFit="1" customWidth="1"/>
    <col min="4" max="6" width="11" style="1" customWidth="1"/>
    <col min="7" max="9" width="11" style="8" customWidth="1"/>
    <col min="10" max="12" width="11" style="9" customWidth="1"/>
    <col min="13" max="15" width="11" style="10" customWidth="1"/>
    <col min="16" max="16" width="9.140625" style="133"/>
    <col min="17" max="17" width="9.140625" style="1"/>
    <col min="18" max="18" width="4.5703125" style="1" bestFit="1" customWidth="1"/>
    <col min="19" max="22" width="12.7109375" style="1" bestFit="1" customWidth="1"/>
    <col min="23" max="23" width="12" style="54" bestFit="1" customWidth="1"/>
    <col min="24" max="16384" width="9.140625" style="1"/>
  </cols>
  <sheetData>
    <row r="2" spans="1:32" x14ac:dyDescent="0.25">
      <c r="C2" s="196" t="s">
        <v>62</v>
      </c>
      <c r="D2" s="1">
        <f>eingabe!D16/100</f>
        <v>0.04</v>
      </c>
    </row>
    <row r="3" spans="1:32" ht="18" x14ac:dyDescent="0.35">
      <c r="C3" s="1" t="s">
        <v>46</v>
      </c>
      <c r="D3" s="1">
        <f>eingabe!D14</f>
        <v>20</v>
      </c>
      <c r="E3" s="1" t="s">
        <v>12</v>
      </c>
      <c r="T3" s="2" t="s">
        <v>51</v>
      </c>
      <c r="U3" s="2" t="s">
        <v>51</v>
      </c>
      <c r="V3" s="2" t="s">
        <v>51</v>
      </c>
      <c r="W3" s="54" t="s">
        <v>52</v>
      </c>
    </row>
    <row r="4" spans="1:32" x14ac:dyDescent="0.25">
      <c r="T4" s="61" t="b">
        <v>1</v>
      </c>
      <c r="U4" s="61" t="b">
        <v>1</v>
      </c>
      <c r="V4" s="61" t="b">
        <v>1</v>
      </c>
      <c r="W4" s="54">
        <f>ROUND(ROUND(VLOOKUP($D$3,R8:W58,6,FALSE),0)/10^LEN(ROUND(VLOOKUP($D$3,R8:W58,6,FALSE),0)),1)*10^LEN(ROUND(VLOOKUP($D$3,R8:W58,6,FALSE),0))</f>
        <v>300000</v>
      </c>
    </row>
    <row r="5" spans="1:32" ht="28.9" customHeight="1" x14ac:dyDescent="0.25">
      <c r="C5" s="40" t="s">
        <v>47</v>
      </c>
      <c r="D5" s="41"/>
      <c r="E5" s="41"/>
      <c r="F5" s="41"/>
      <c r="G5" s="42"/>
      <c r="H5" s="42"/>
      <c r="I5" s="42"/>
      <c r="J5" s="43"/>
      <c r="K5" s="43"/>
      <c r="L5" s="43"/>
      <c r="M5" s="44"/>
      <c r="N5" s="39"/>
      <c r="O5" s="127"/>
      <c r="R5" s="40" t="s">
        <v>48</v>
      </c>
      <c r="S5" s="41"/>
      <c r="T5" s="42"/>
      <c r="U5" s="43"/>
      <c r="V5" s="55"/>
    </row>
    <row r="6" spans="1:32" x14ac:dyDescent="0.25">
      <c r="C6" s="25"/>
      <c r="D6" s="26" t="s">
        <v>39</v>
      </c>
      <c r="E6" s="27"/>
      <c r="F6" s="124"/>
      <c r="G6" s="28" t="s">
        <v>40</v>
      </c>
      <c r="H6" s="29"/>
      <c r="I6" s="125"/>
      <c r="J6" s="30" t="s">
        <v>41</v>
      </c>
      <c r="K6" s="31"/>
      <c r="L6" s="126"/>
      <c r="M6" s="32" t="s">
        <v>42</v>
      </c>
      <c r="N6" s="33"/>
      <c r="O6" s="128"/>
      <c r="R6" s="25"/>
      <c r="S6" s="26" t="s">
        <v>39</v>
      </c>
      <c r="T6" s="28" t="s">
        <v>40</v>
      </c>
      <c r="U6" s="30" t="s">
        <v>41</v>
      </c>
      <c r="V6" s="56" t="s">
        <v>42</v>
      </c>
    </row>
    <row r="7" spans="1:32" x14ac:dyDescent="0.25">
      <c r="C7" s="34" t="s">
        <v>0</v>
      </c>
      <c r="D7" s="35" t="s">
        <v>37</v>
      </c>
      <c r="E7" s="169" t="s">
        <v>38</v>
      </c>
      <c r="F7" s="170" t="s">
        <v>63</v>
      </c>
      <c r="G7" s="36" t="s">
        <v>37</v>
      </c>
      <c r="H7" s="176" t="s">
        <v>38</v>
      </c>
      <c r="I7" s="177"/>
      <c r="J7" s="37" t="s">
        <v>37</v>
      </c>
      <c r="K7" s="184" t="s">
        <v>38</v>
      </c>
      <c r="L7" s="185"/>
      <c r="M7" s="38" t="s">
        <v>37</v>
      </c>
      <c r="N7" s="192" t="s">
        <v>38</v>
      </c>
      <c r="O7" s="129" t="s">
        <v>38</v>
      </c>
      <c r="R7" s="34" t="s">
        <v>0</v>
      </c>
      <c r="S7" s="35" t="s">
        <v>73</v>
      </c>
      <c r="T7" s="36" t="s">
        <v>37</v>
      </c>
      <c r="U7" s="37" t="s">
        <v>37</v>
      </c>
      <c r="V7" s="57" t="s">
        <v>37</v>
      </c>
      <c r="W7" s="62" t="s">
        <v>50</v>
      </c>
      <c r="AD7" s="5"/>
      <c r="AF7" s="3"/>
    </row>
    <row r="8" spans="1:32" x14ac:dyDescent="0.25">
      <c r="A8" s="1">
        <v>1</v>
      </c>
      <c r="C8" s="11">
        <v>0</v>
      </c>
      <c r="D8" s="14">
        <f>IF(OR(C8&gt;=eingabe!$D$7+eingabe!$D$11*5,C8&gt;=eingabe!$D$7+eingabe!$D$11*4,C8&gt;=eingabe!$D$7+eingabe!$D$11*3,C8&gt;=eingabe!$D$7+eingabe!$D$11*2,C8&gt;=eingabe!$D$7+eingabe!$D$11*1,C8&gt;=eingabe!$D$7),eingabe!$D$9-eingabe!$D$8,0)</f>
        <v>0</v>
      </c>
      <c r="E8" s="171">
        <f>eingabe!D6</f>
        <v>6000</v>
      </c>
      <c r="F8" s="172">
        <f>E8</f>
        <v>6000</v>
      </c>
      <c r="G8" s="22">
        <f>eingabe!D24</f>
        <v>32000</v>
      </c>
      <c r="H8" s="178">
        <f>eingabe!D25-eingabe!D26</f>
        <v>4000</v>
      </c>
      <c r="I8" s="179">
        <f>H8</f>
        <v>4000</v>
      </c>
      <c r="J8" s="23">
        <f>IF(OR(eingabe!F24="",eingabe!F24=0),0,eingabe!F24)</f>
        <v>22000</v>
      </c>
      <c r="K8" s="186">
        <f>eingabe!F25-eingabe!F26</f>
        <v>3700</v>
      </c>
      <c r="L8" s="187">
        <f>K8</f>
        <v>3700</v>
      </c>
      <c r="M8" s="24">
        <f>IF(OR(eingabe!H24="",eingabe!H24=0),0,eingabe!H24)</f>
        <v>42000</v>
      </c>
      <c r="N8" s="193">
        <f>eingabe!H25-eingabe!H26</f>
        <v>5200</v>
      </c>
      <c r="O8" s="130">
        <f>N8</f>
        <v>5200</v>
      </c>
      <c r="R8" s="11">
        <v>0</v>
      </c>
      <c r="S8" s="45">
        <f>IF($D$2=0,D8+E8,D8+F8)</f>
        <v>6000</v>
      </c>
      <c r="T8" s="46">
        <f>IF(T$4=TRUE,IF($D$2=0,G8+H8,G8+I8),0)</f>
        <v>36000</v>
      </c>
      <c r="U8" s="47">
        <f>IF(U$4=TRUE,IF($D$2=0,J8+K8,J8+L8),0)</f>
        <v>25700</v>
      </c>
      <c r="V8" s="58">
        <f>IF(V$4=TRUE,IF($D$2=0,M8+N8,M8+O8),0)</f>
        <v>47200</v>
      </c>
      <c r="W8" s="63">
        <f>MAX(S8:V8)</f>
        <v>47200</v>
      </c>
    </row>
    <row r="9" spans="1:32" x14ac:dyDescent="0.25">
      <c r="A9" s="1">
        <f>A8+($D$2*A8)</f>
        <v>1.04</v>
      </c>
      <c r="C9" s="12">
        <v>1</v>
      </c>
      <c r="D9" s="14">
        <f>IF(OR(C9=eingabe!$D$7+eingabe!$D$11*5,C9=eingabe!$D$7+eingabe!$D$11*4,C9=eingabe!$D$7+eingabe!$D$11*3,C9=eingabe!$D$7+eingabe!$D$11*2,C9=eingabe!$D$7+eingabe!$D$11*1,C9=eingabe!$D$7),D8+eingabe!$D$9-eingabe!$D$8,D8)</f>
        <v>0</v>
      </c>
      <c r="E9" s="173">
        <f>IF(C9&lt;eingabe!$D$7,E8+eingabe!$D$6,E8+eingabe!$D$10)</f>
        <v>12000</v>
      </c>
      <c r="F9" s="174">
        <f>IF(C9&lt;eingabe!$D$7,F8+(eingabe!$D$6*$A9),F8+(eingabe!$D$10*$A9))</f>
        <v>12240</v>
      </c>
      <c r="G9" s="16">
        <f>IF(OR($C9=eingabe!D$27,$C9=2*eingabe!D$27,$C9=3*eingabe!D$27,$C9=4*eingabe!D$27,$C9=5*eingabe!D$27,),mathe!G8-eingabe!D$28+eingabe!D$24,mathe!G8)</f>
        <v>32000</v>
      </c>
      <c r="H9" s="180">
        <f t="shared" ref="H9:H28" si="0">H8+$H$8</f>
        <v>8000</v>
      </c>
      <c r="I9" s="181">
        <f>I8+I$8*$A9</f>
        <v>8160</v>
      </c>
      <c r="J9" s="18">
        <f>IF(OR($C9=eingabe!F$27,$C9=2*eingabe!F$27,$C9=3*eingabe!F$27,$C9=4*eingabe!F$27,$C9=5*eingabe!F$27,),mathe!J8-eingabe!F$28+eingabe!F$24,mathe!J8)</f>
        <v>22000</v>
      </c>
      <c r="K9" s="188">
        <f t="shared" ref="K9:K28" si="1">K8+$K$8</f>
        <v>7400</v>
      </c>
      <c r="L9" s="189">
        <f>L8+L$8*$A9</f>
        <v>7548</v>
      </c>
      <c r="M9" s="20">
        <f>IF(OR($C9=eingabe!H$27,$C9=2*eingabe!H$27,$C9=3*eingabe!H$27,$C9=4*eingabe!H$27,$C9=5*eingabe!H$27,),mathe!M8-eingabe!H$28+eingabe!H$24,mathe!M8)</f>
        <v>42000</v>
      </c>
      <c r="N9" s="194">
        <f t="shared" ref="N9:N40" si="2">N8+$N$8</f>
        <v>10400</v>
      </c>
      <c r="O9" s="131">
        <f>O8+O$8*$A9</f>
        <v>10608</v>
      </c>
      <c r="R9" s="12">
        <v>1</v>
      </c>
      <c r="S9" s="48">
        <f t="shared" ref="S9:S58" si="3">IF($D$2=0,D9+E9,D9+F9)</f>
        <v>12240</v>
      </c>
      <c r="T9" s="49">
        <f t="shared" ref="T9:T58" si="4">IF(T$4=TRUE,IF($D$2=0,G9+H9,G9+I9),0)</f>
        <v>40160</v>
      </c>
      <c r="U9" s="50">
        <f t="shared" ref="U9:U58" si="5">IF(U$4=TRUE,IF($D$2=0,J9+K9,J9+L9),0)</f>
        <v>29548</v>
      </c>
      <c r="V9" s="59">
        <f t="shared" ref="V9:V58" si="6">IF(V$4=TRUE,IF($D$2=0,M9+N9,M9+O9),0)</f>
        <v>52608</v>
      </c>
      <c r="W9" s="63">
        <f t="shared" ref="W9:W58" si="7">MAX(S9:V9)</f>
        <v>52608</v>
      </c>
    </row>
    <row r="10" spans="1:32" x14ac:dyDescent="0.25">
      <c r="A10" s="1">
        <f t="shared" ref="A10:A58" si="8">A9+($D$2*A9)</f>
        <v>1.0816000000000001</v>
      </c>
      <c r="C10" s="12">
        <v>2</v>
      </c>
      <c r="D10" s="14">
        <f>IF(OR(C10=eingabe!$D$7+eingabe!$D$11*5,C10=eingabe!$D$7+eingabe!$D$11*4,C10=eingabe!$D$7+eingabe!$D$11*3,C10=eingabe!$D$7+eingabe!$D$11*2,C10=eingabe!$D$7+eingabe!$D$11*1,C10=eingabe!$D$7),D9+eingabe!$D$9-eingabe!$D$8,D9)</f>
        <v>0</v>
      </c>
      <c r="E10" s="173">
        <f>IF(C10&lt;eingabe!$D$7,E9+eingabe!$D$6,E9+eingabe!$D$10)</f>
        <v>18000</v>
      </c>
      <c r="F10" s="174">
        <f>IF(C10&lt;eingabe!$D$7,F9+(eingabe!$D$6*$A10),F9+(eingabe!$D$10*$A10))</f>
        <v>18729.599999999999</v>
      </c>
      <c r="G10" s="16">
        <f>IF(OR($C10=eingabe!D$27,$C10=2*eingabe!D$27,$C10=3*eingabe!D$27,$C10=4*eingabe!D$27,$C10=5*eingabe!D$27,),mathe!G9-eingabe!D$28+eingabe!D$24,mathe!G9)</f>
        <v>32000</v>
      </c>
      <c r="H10" s="180">
        <f t="shared" si="0"/>
        <v>12000</v>
      </c>
      <c r="I10" s="181">
        <f t="shared" ref="I10:I58" si="9">I9+I$8*$A10</f>
        <v>12486.400000000001</v>
      </c>
      <c r="J10" s="18">
        <f>IF(OR($C10=eingabe!F$27,$C10=2*eingabe!F$27,$C10=3*eingabe!F$27,$C10=4*eingabe!F$27,$C10=5*eingabe!F$27,),mathe!J9-eingabe!F$28+eingabe!F$24,mathe!J9)</f>
        <v>22000</v>
      </c>
      <c r="K10" s="188">
        <f t="shared" si="1"/>
        <v>11100</v>
      </c>
      <c r="L10" s="189">
        <f t="shared" ref="L10:L58" si="10">L9+L$8*$A10</f>
        <v>11549.92</v>
      </c>
      <c r="M10" s="20">
        <f>IF(OR($C10=eingabe!H$27,$C10=2*eingabe!H$27,$C10=3*eingabe!H$27,$C10=4*eingabe!H$27,$C10=5*eingabe!H$27,),mathe!M9-eingabe!H$28+eingabe!H$24,mathe!M9)</f>
        <v>42000</v>
      </c>
      <c r="N10" s="194">
        <f t="shared" si="2"/>
        <v>15600</v>
      </c>
      <c r="O10" s="131">
        <f t="shared" ref="O10:O58" si="11">O9+O$8*$A10</f>
        <v>16232.32</v>
      </c>
      <c r="R10" s="12">
        <v>2</v>
      </c>
      <c r="S10" s="48">
        <f t="shared" si="3"/>
        <v>18729.599999999999</v>
      </c>
      <c r="T10" s="49">
        <f t="shared" si="4"/>
        <v>44486.400000000001</v>
      </c>
      <c r="U10" s="50">
        <f t="shared" si="5"/>
        <v>33549.919999999998</v>
      </c>
      <c r="V10" s="59">
        <f t="shared" si="6"/>
        <v>58232.32</v>
      </c>
      <c r="W10" s="63">
        <f t="shared" si="7"/>
        <v>58232.32</v>
      </c>
    </row>
    <row r="11" spans="1:32" x14ac:dyDescent="0.25">
      <c r="A11" s="1">
        <f t="shared" si="8"/>
        <v>1.1248640000000001</v>
      </c>
      <c r="C11" s="12">
        <v>3</v>
      </c>
      <c r="D11" s="14">
        <f>IF(OR(C11=eingabe!$D$7+eingabe!$D$11*5,C11=eingabe!$D$7+eingabe!$D$11*4,C11=eingabe!$D$7+eingabe!$D$11*3,C11=eingabe!$D$7+eingabe!$D$11*2,C11=eingabe!$D$7+eingabe!$D$11*1,C11=eingabe!$D$7),D10+eingabe!$D$9-eingabe!$D$8,D10)</f>
        <v>0</v>
      </c>
      <c r="E11" s="173">
        <f>IF(C11&lt;eingabe!$D$7,E10+eingabe!$D$6,E10+eingabe!$D$10)</f>
        <v>24000</v>
      </c>
      <c r="F11" s="174">
        <f>IF(C11&lt;eingabe!$D$7,F10+(eingabe!$D$6*$A11),F10+(eingabe!$D$10*$A11))</f>
        <v>25478.784</v>
      </c>
      <c r="G11" s="16">
        <f>IF(OR($C11=eingabe!D$27,$C11=2*eingabe!D$27,$C11=3*eingabe!D$27,$C11=4*eingabe!D$27,$C11=5*eingabe!D$27,),mathe!G10-eingabe!D$28+eingabe!D$24,mathe!G10)</f>
        <v>32000</v>
      </c>
      <c r="H11" s="180">
        <f t="shared" si="0"/>
        <v>16000</v>
      </c>
      <c r="I11" s="181">
        <f t="shared" si="9"/>
        <v>16985.856</v>
      </c>
      <c r="J11" s="18">
        <f>IF(OR($C11=eingabe!F$27,$C11=2*eingabe!F$27,$C11=3*eingabe!F$27,$C11=4*eingabe!F$27,$C11=5*eingabe!F$27,),mathe!J10-eingabe!F$28+eingabe!F$24,mathe!J10)</f>
        <v>22000</v>
      </c>
      <c r="K11" s="188">
        <f t="shared" si="1"/>
        <v>14800</v>
      </c>
      <c r="L11" s="189">
        <f t="shared" si="10"/>
        <v>15711.916799999999</v>
      </c>
      <c r="M11" s="20">
        <f>IF(OR($C11=eingabe!H$27,$C11=2*eingabe!H$27,$C11=3*eingabe!H$27,$C11=4*eingabe!H$27,$C11=5*eingabe!H$27,),mathe!M10-eingabe!H$28+eingabe!H$24,mathe!M10)</f>
        <v>42000</v>
      </c>
      <c r="N11" s="194">
        <f t="shared" si="2"/>
        <v>20800</v>
      </c>
      <c r="O11" s="131">
        <f t="shared" si="11"/>
        <v>22081.612799999999</v>
      </c>
      <c r="R11" s="12">
        <v>3</v>
      </c>
      <c r="S11" s="48">
        <f t="shared" si="3"/>
        <v>25478.784</v>
      </c>
      <c r="T11" s="49">
        <f t="shared" si="4"/>
        <v>48985.856</v>
      </c>
      <c r="U11" s="50">
        <f t="shared" si="5"/>
        <v>37711.916799999999</v>
      </c>
      <c r="V11" s="59">
        <f t="shared" si="6"/>
        <v>64081.612800000003</v>
      </c>
      <c r="W11" s="63">
        <f t="shared" si="7"/>
        <v>64081.612800000003</v>
      </c>
    </row>
    <row r="12" spans="1:32" x14ac:dyDescent="0.25">
      <c r="A12" s="1">
        <f t="shared" si="8"/>
        <v>1.16985856</v>
      </c>
      <c r="C12" s="12">
        <v>4</v>
      </c>
      <c r="D12" s="14">
        <f>IF(OR(C12=eingabe!$D$7+eingabe!$D$11*5,C12=eingabe!$D$7+eingabe!$D$11*4,C12=eingabe!$D$7+eingabe!$D$11*3,C12=eingabe!$D$7+eingabe!$D$11*2,C12=eingabe!$D$7+eingabe!$D$11*1,C12=eingabe!$D$7),D11+eingabe!$D$9-eingabe!$D$8,D11)</f>
        <v>9500</v>
      </c>
      <c r="E12" s="173">
        <f>IF(C12&lt;eingabe!$D$7,E11+eingabe!$D$6,E11+eingabe!$D$10)</f>
        <v>28500</v>
      </c>
      <c r="F12" s="174">
        <f>IF(C12&lt;eingabe!$D$7,F11+(eingabe!$D$6*$A12),F11+(eingabe!$D$10*$A12))</f>
        <v>30743.147519999999</v>
      </c>
      <c r="G12" s="16">
        <f>IF(OR($C12=eingabe!D$27,$C12=2*eingabe!D$27,$C12=3*eingabe!D$27,$C12=4*eingabe!D$27,$C12=5*eingabe!D$27,),mathe!G11-eingabe!D$28+eingabe!D$24,mathe!G11)</f>
        <v>32000</v>
      </c>
      <c r="H12" s="180">
        <f t="shared" si="0"/>
        <v>20000</v>
      </c>
      <c r="I12" s="181">
        <f t="shared" si="9"/>
        <v>21665.290239999998</v>
      </c>
      <c r="J12" s="18">
        <f>IF(OR($C12=eingabe!F$27,$C12=2*eingabe!F$27,$C12=3*eingabe!F$27,$C12=4*eingabe!F$27,$C12=5*eingabe!F$27,),mathe!J11-eingabe!F$28+eingabe!F$24,mathe!J11)</f>
        <v>22000</v>
      </c>
      <c r="K12" s="188">
        <f t="shared" si="1"/>
        <v>18500</v>
      </c>
      <c r="L12" s="189">
        <f t="shared" si="10"/>
        <v>20040.393472</v>
      </c>
      <c r="M12" s="20">
        <f>IF(OR($C12=eingabe!H$27,$C12=2*eingabe!H$27,$C12=3*eingabe!H$27,$C12=4*eingabe!H$27,$C12=5*eingabe!H$27,),mathe!M11-eingabe!H$28+eingabe!H$24,mathe!M11)</f>
        <v>42000</v>
      </c>
      <c r="N12" s="194">
        <f t="shared" si="2"/>
        <v>26000</v>
      </c>
      <c r="O12" s="131">
        <f t="shared" si="11"/>
        <v>28164.877311999997</v>
      </c>
      <c r="R12" s="12">
        <v>4</v>
      </c>
      <c r="S12" s="48">
        <f t="shared" si="3"/>
        <v>40243.147519999999</v>
      </c>
      <c r="T12" s="49">
        <f t="shared" si="4"/>
        <v>53665.290240000002</v>
      </c>
      <c r="U12" s="50">
        <f t="shared" si="5"/>
        <v>42040.393471999996</v>
      </c>
      <c r="V12" s="59">
        <f t="shared" si="6"/>
        <v>70164.877311999997</v>
      </c>
      <c r="W12" s="63">
        <f t="shared" si="7"/>
        <v>70164.877311999997</v>
      </c>
    </row>
    <row r="13" spans="1:32" x14ac:dyDescent="0.25">
      <c r="A13" s="1">
        <f t="shared" si="8"/>
        <v>1.2166529023999999</v>
      </c>
      <c r="C13" s="12">
        <v>5</v>
      </c>
      <c r="D13" s="14">
        <f>IF(OR(C13=eingabe!$D$7+eingabe!$D$11*5,C13=eingabe!$D$7+eingabe!$D$11*4,C13=eingabe!$D$7+eingabe!$D$11*3,C13=eingabe!$D$7+eingabe!$D$11*2,C13=eingabe!$D$7+eingabe!$D$11*1,C13=eingabe!$D$7),D12+eingabe!$D$9-eingabe!$D$8,D12)</f>
        <v>9500</v>
      </c>
      <c r="E13" s="173">
        <f>IF(C13&lt;eingabe!$D$7,E12+eingabe!$D$6,E12+eingabe!$D$10)</f>
        <v>33000</v>
      </c>
      <c r="F13" s="174">
        <f>IF(C13&lt;eingabe!$D$7,F12+(eingabe!$D$6*$A13),F12+(eingabe!$D$10*$A13))</f>
        <v>36218.085580799998</v>
      </c>
      <c r="G13" s="16">
        <f>IF(OR($C13=eingabe!D$27,$C13=2*eingabe!D$27,$C13=3*eingabe!D$27,$C13=4*eingabe!D$27,$C13=5*eingabe!D$27,),mathe!G12-eingabe!D$28+eingabe!D$24,mathe!G12)</f>
        <v>32000</v>
      </c>
      <c r="H13" s="180">
        <f t="shared" si="0"/>
        <v>24000</v>
      </c>
      <c r="I13" s="181">
        <f t="shared" si="9"/>
        <v>26531.901849599999</v>
      </c>
      <c r="J13" s="18">
        <f>IF(OR($C13=eingabe!F$27,$C13=2*eingabe!F$27,$C13=3*eingabe!F$27,$C13=4*eingabe!F$27,$C13=5*eingabe!F$27,),mathe!J12-eingabe!F$28+eingabe!F$24,mathe!J12)</f>
        <v>22000</v>
      </c>
      <c r="K13" s="188">
        <f t="shared" si="1"/>
        <v>22200</v>
      </c>
      <c r="L13" s="189">
        <f t="shared" si="10"/>
        <v>24542.009210879998</v>
      </c>
      <c r="M13" s="20">
        <f>IF(OR($C13=eingabe!H$27,$C13=2*eingabe!H$27,$C13=3*eingabe!H$27,$C13=4*eingabe!H$27,$C13=5*eingabe!H$27,),mathe!M12-eingabe!H$28+eingabe!H$24,mathe!M12)</f>
        <v>42000</v>
      </c>
      <c r="N13" s="194">
        <f t="shared" si="2"/>
        <v>31200</v>
      </c>
      <c r="O13" s="131">
        <f t="shared" si="11"/>
        <v>34491.472404479995</v>
      </c>
      <c r="R13" s="12">
        <v>5</v>
      </c>
      <c r="S13" s="48">
        <f t="shared" si="3"/>
        <v>45718.085580799998</v>
      </c>
      <c r="T13" s="49">
        <f t="shared" si="4"/>
        <v>58531.901849599999</v>
      </c>
      <c r="U13" s="50">
        <f t="shared" si="5"/>
        <v>46542.009210880002</v>
      </c>
      <c r="V13" s="59">
        <f t="shared" si="6"/>
        <v>76491.472404479995</v>
      </c>
      <c r="W13" s="63">
        <f t="shared" si="7"/>
        <v>76491.472404479995</v>
      </c>
    </row>
    <row r="14" spans="1:32" x14ac:dyDescent="0.25">
      <c r="A14" s="1">
        <f t="shared" si="8"/>
        <v>1.2653190184959999</v>
      </c>
      <c r="C14" s="12">
        <v>6</v>
      </c>
      <c r="D14" s="14">
        <f>IF(OR(C14=eingabe!$D$7+eingabe!$D$11*5,C14=eingabe!$D$7+eingabe!$D$11*4,C14=eingabe!$D$7+eingabe!$D$11*3,C14=eingabe!$D$7+eingabe!$D$11*2,C14=eingabe!$D$7+eingabe!$D$11*1,C14=eingabe!$D$7),D13+eingabe!$D$9-eingabe!$D$8,D13)</f>
        <v>9500</v>
      </c>
      <c r="E14" s="173">
        <f>IF(C14&lt;eingabe!$D$7,E13+eingabe!$D$6,E13+eingabe!$D$10)</f>
        <v>37500</v>
      </c>
      <c r="F14" s="174">
        <f>IF(C14&lt;eingabe!$D$7,F13+(eingabe!$D$6*$A14),F13+(eingabe!$D$10*$A14))</f>
        <v>41912.021164031998</v>
      </c>
      <c r="G14" s="16">
        <f>IF(OR($C14=eingabe!D$27,$C14=2*eingabe!D$27,$C14=3*eingabe!D$27,$C14=4*eingabe!D$27,$C14=5*eingabe!D$27,),mathe!G13-eingabe!D$28+eingabe!D$24,mathe!G13)</f>
        <v>32000</v>
      </c>
      <c r="H14" s="180">
        <f t="shared" si="0"/>
        <v>28000</v>
      </c>
      <c r="I14" s="181">
        <f t="shared" si="9"/>
        <v>31593.177923584</v>
      </c>
      <c r="J14" s="18">
        <f>IF(OR($C14=eingabe!F$27,$C14=2*eingabe!F$27,$C14=3*eingabe!F$27,$C14=4*eingabe!F$27,$C14=5*eingabe!F$27,),mathe!J13-eingabe!F$28+eingabe!F$24,mathe!J13)</f>
        <v>22000</v>
      </c>
      <c r="K14" s="188">
        <f t="shared" si="1"/>
        <v>25900</v>
      </c>
      <c r="L14" s="189">
        <f t="shared" si="10"/>
        <v>29223.6895793152</v>
      </c>
      <c r="M14" s="20">
        <f>IF(OR($C14=eingabe!H$27,$C14=2*eingabe!H$27,$C14=3*eingabe!H$27,$C14=4*eingabe!H$27,$C14=5*eingabe!H$27,),mathe!M13-eingabe!H$28+eingabe!H$24,mathe!M13)</f>
        <v>42000</v>
      </c>
      <c r="N14" s="194">
        <f t="shared" si="2"/>
        <v>36400</v>
      </c>
      <c r="O14" s="131">
        <f t="shared" si="11"/>
        <v>41071.131300659195</v>
      </c>
      <c r="R14" s="12">
        <v>6</v>
      </c>
      <c r="S14" s="48">
        <f t="shared" si="3"/>
        <v>51412.021164031998</v>
      </c>
      <c r="T14" s="49">
        <f t="shared" si="4"/>
        <v>63593.177923584</v>
      </c>
      <c r="U14" s="50">
        <f t="shared" si="5"/>
        <v>51223.6895793152</v>
      </c>
      <c r="V14" s="59">
        <f t="shared" si="6"/>
        <v>83071.131300659195</v>
      </c>
      <c r="W14" s="63">
        <f t="shared" si="7"/>
        <v>83071.131300659195</v>
      </c>
    </row>
    <row r="15" spans="1:32" x14ac:dyDescent="0.25">
      <c r="A15" s="1">
        <f t="shared" si="8"/>
        <v>1.3159317792358398</v>
      </c>
      <c r="C15" s="12">
        <v>7</v>
      </c>
      <c r="D15" s="14">
        <f>IF(OR(C15=eingabe!$D$7+eingabe!$D$11*5,C15=eingabe!$D$7+eingabe!$D$11*4,C15=eingabe!$D$7+eingabe!$D$11*3,C15=eingabe!$D$7+eingabe!$D$11*2,C15=eingabe!$D$7+eingabe!$D$11*1,C15=eingabe!$D$7),D14+eingabe!$D$9-eingabe!$D$8,D14)</f>
        <v>9500</v>
      </c>
      <c r="E15" s="173">
        <f>IF(C15&lt;eingabe!$D$7,E14+eingabe!$D$6,E14+eingabe!$D$10)</f>
        <v>42000</v>
      </c>
      <c r="F15" s="174">
        <f>IF(C15&lt;eingabe!$D$7,F14+(eingabe!$D$6*$A15),F14+(eingabe!$D$10*$A15))</f>
        <v>47833.714170593274</v>
      </c>
      <c r="G15" s="16">
        <f>IF(OR($C15=eingabe!D$27,$C15=2*eingabe!D$27,$C15=3*eingabe!D$27,$C15=4*eingabe!D$27,$C15=5*eingabe!D$27,),mathe!G14-eingabe!D$28+eingabe!D$24,mathe!G14)</f>
        <v>32000</v>
      </c>
      <c r="H15" s="180">
        <f t="shared" si="0"/>
        <v>32000</v>
      </c>
      <c r="I15" s="181">
        <f t="shared" si="9"/>
        <v>36856.905040527359</v>
      </c>
      <c r="J15" s="18">
        <f>IF(OR($C15=eingabe!F$27,$C15=2*eingabe!F$27,$C15=3*eingabe!F$27,$C15=4*eingabe!F$27,$C15=5*eingabe!F$27,),mathe!J14-eingabe!F$28+eingabe!F$24,mathe!J14)</f>
        <v>22000</v>
      </c>
      <c r="K15" s="188">
        <f t="shared" si="1"/>
        <v>29600</v>
      </c>
      <c r="L15" s="189">
        <f t="shared" si="10"/>
        <v>34092.637162487808</v>
      </c>
      <c r="M15" s="20">
        <f>IF(OR($C15=eingabe!H$27,$C15=2*eingabe!H$27,$C15=3*eingabe!H$27,$C15=4*eingabe!H$27,$C15=5*eingabe!H$27,),mathe!M14-eingabe!H$28+eingabe!H$24,mathe!M14)</f>
        <v>42000</v>
      </c>
      <c r="N15" s="194">
        <f t="shared" si="2"/>
        <v>41600</v>
      </c>
      <c r="O15" s="131">
        <f t="shared" si="11"/>
        <v>47913.976552685563</v>
      </c>
      <c r="R15" s="12">
        <v>7</v>
      </c>
      <c r="S15" s="48">
        <f t="shared" si="3"/>
        <v>57333.714170593274</v>
      </c>
      <c r="T15" s="49">
        <f t="shared" si="4"/>
        <v>68856.905040527359</v>
      </c>
      <c r="U15" s="50">
        <f t="shared" si="5"/>
        <v>56092.637162487808</v>
      </c>
      <c r="V15" s="59">
        <f t="shared" si="6"/>
        <v>89913.976552685563</v>
      </c>
      <c r="W15" s="63">
        <f t="shared" si="7"/>
        <v>89913.976552685563</v>
      </c>
    </row>
    <row r="16" spans="1:32" x14ac:dyDescent="0.25">
      <c r="A16" s="1">
        <f t="shared" si="8"/>
        <v>1.3685690504052734</v>
      </c>
      <c r="C16" s="12">
        <v>8</v>
      </c>
      <c r="D16" s="14">
        <f>IF(OR(C16=eingabe!$D$7+eingabe!$D$11*5,C16=eingabe!$D$7+eingabe!$D$11*4,C16=eingabe!$D$7+eingabe!$D$11*3,C16=eingabe!$D$7+eingabe!$D$11*2,C16=eingabe!$D$7+eingabe!$D$11*1,C16=eingabe!$D$7),D15+eingabe!$D$9-eingabe!$D$8,D15)</f>
        <v>9500</v>
      </c>
      <c r="E16" s="173">
        <f>IF(C16&lt;eingabe!$D$7,E15+eingabe!$D$6,E15+eingabe!$D$10)</f>
        <v>46500</v>
      </c>
      <c r="F16" s="174">
        <f>IF(C16&lt;eingabe!$D$7,F15+(eingabe!$D$6*$A16),F15+(eingabe!$D$10*$A16))</f>
        <v>53992.274897417003</v>
      </c>
      <c r="G16" s="16">
        <f>IF(OR($C16=eingabe!D$27,$C16=2*eingabe!D$27,$C16=3*eingabe!D$27,$C16=4*eingabe!D$27,$C16=5*eingabe!D$27,),mathe!G15-eingabe!D$28+eingabe!D$24,mathe!G15)</f>
        <v>32000</v>
      </c>
      <c r="H16" s="180">
        <f t="shared" si="0"/>
        <v>36000</v>
      </c>
      <c r="I16" s="181">
        <f t="shared" si="9"/>
        <v>42331.18124214845</v>
      </c>
      <c r="J16" s="18">
        <f>IF(OR($C16=eingabe!F$27,$C16=2*eingabe!F$27,$C16=3*eingabe!F$27,$C16=4*eingabe!F$27,$C16=5*eingabe!F$27,),mathe!J15-eingabe!F$28+eingabe!F$24,mathe!J15)</f>
        <v>22000</v>
      </c>
      <c r="K16" s="188">
        <f t="shared" si="1"/>
        <v>33300</v>
      </c>
      <c r="L16" s="189">
        <f t="shared" si="10"/>
        <v>39156.342648987324</v>
      </c>
      <c r="M16" s="20">
        <f>IF(OR($C16=eingabe!H$27,$C16=2*eingabe!H$27,$C16=3*eingabe!H$27,$C16=4*eingabe!H$27,$C16=5*eingabe!H$27,),mathe!M15-eingabe!H$28+eingabe!H$24,mathe!M15)</f>
        <v>42000</v>
      </c>
      <c r="N16" s="194">
        <f t="shared" si="2"/>
        <v>46800</v>
      </c>
      <c r="O16" s="131">
        <f t="shared" si="11"/>
        <v>55030.535614792985</v>
      </c>
      <c r="R16" s="12">
        <v>8</v>
      </c>
      <c r="S16" s="48">
        <f t="shared" si="3"/>
        <v>63492.274897417003</v>
      </c>
      <c r="T16" s="49">
        <f t="shared" si="4"/>
        <v>74331.18124214845</v>
      </c>
      <c r="U16" s="50">
        <f t="shared" si="5"/>
        <v>61156.342648987324</v>
      </c>
      <c r="V16" s="59">
        <f t="shared" si="6"/>
        <v>97030.535614792985</v>
      </c>
      <c r="W16" s="63">
        <f t="shared" si="7"/>
        <v>97030.535614792985</v>
      </c>
    </row>
    <row r="17" spans="1:23" x14ac:dyDescent="0.25">
      <c r="A17" s="1">
        <f t="shared" si="8"/>
        <v>1.4233118124214843</v>
      </c>
      <c r="C17" s="12">
        <v>9</v>
      </c>
      <c r="D17" s="14">
        <f>IF(OR(C17=eingabe!$D$7+eingabe!$D$11*5,C17=eingabe!$D$7+eingabe!$D$11*4,C17=eingabe!$D$7+eingabe!$D$11*3,C17=eingabe!$D$7+eingabe!$D$11*2,C17=eingabe!$D$7+eingabe!$D$11*1,C17=eingabe!$D$7),D16+eingabe!$D$9-eingabe!$D$8,D16)</f>
        <v>9500</v>
      </c>
      <c r="E17" s="173">
        <f>IF(C17&lt;eingabe!$D$7,E16+eingabe!$D$6,E16+eingabe!$D$10)</f>
        <v>51000</v>
      </c>
      <c r="F17" s="174">
        <f>IF(C17&lt;eingabe!$D$7,F16+(eingabe!$D$6*$A17),F16+(eingabe!$D$10*$A17))</f>
        <v>60397.178053313684</v>
      </c>
      <c r="G17" s="16">
        <f>IF(OR($C17=eingabe!D$27,$C17=2*eingabe!D$27,$C17=3*eingabe!D$27,$C17=4*eingabe!D$27,$C17=5*eingabe!D$27,),mathe!G16-eingabe!D$28+eingabe!D$24,mathe!G16)</f>
        <v>32000</v>
      </c>
      <c r="H17" s="180">
        <f t="shared" si="0"/>
        <v>40000</v>
      </c>
      <c r="I17" s="181">
        <f t="shared" si="9"/>
        <v>48024.428491834391</v>
      </c>
      <c r="J17" s="18">
        <f>IF(OR($C17=eingabe!F$27,$C17=2*eingabe!F$27,$C17=3*eingabe!F$27,$C17=4*eingabe!F$27,$C17=5*eingabe!F$27,),mathe!J16-eingabe!F$28+eingabe!F$24,mathe!J16)</f>
        <v>22000</v>
      </c>
      <c r="K17" s="188">
        <f t="shared" si="1"/>
        <v>37000</v>
      </c>
      <c r="L17" s="189">
        <f t="shared" si="10"/>
        <v>44422.596354946814</v>
      </c>
      <c r="M17" s="20">
        <f>IF(OR($C17=eingabe!H$27,$C17=2*eingabe!H$27,$C17=3*eingabe!H$27,$C17=4*eingabe!H$27,$C17=5*eingabe!H$27,),mathe!M16-eingabe!H$28+eingabe!H$24,mathe!M16)</f>
        <v>42000</v>
      </c>
      <c r="N17" s="194">
        <f t="shared" si="2"/>
        <v>52000</v>
      </c>
      <c r="O17" s="131">
        <f t="shared" si="11"/>
        <v>62431.757039384705</v>
      </c>
      <c r="R17" s="12">
        <v>9</v>
      </c>
      <c r="S17" s="48">
        <f t="shared" si="3"/>
        <v>69897.178053313692</v>
      </c>
      <c r="T17" s="49">
        <f t="shared" si="4"/>
        <v>80024.428491834391</v>
      </c>
      <c r="U17" s="50">
        <f t="shared" si="5"/>
        <v>66422.596354946814</v>
      </c>
      <c r="V17" s="59">
        <f t="shared" si="6"/>
        <v>104431.75703938471</v>
      </c>
      <c r="W17" s="63">
        <f t="shared" si="7"/>
        <v>104431.75703938471</v>
      </c>
    </row>
    <row r="18" spans="1:23" x14ac:dyDescent="0.25">
      <c r="A18" s="1">
        <f t="shared" si="8"/>
        <v>1.4802442849183437</v>
      </c>
      <c r="C18" s="12">
        <v>10</v>
      </c>
      <c r="D18" s="14">
        <f>IF(OR(C18=eingabe!$D$7+eingabe!$D$11*5,C18=eingabe!$D$7+eingabe!$D$11*4,C18=eingabe!$D$7+eingabe!$D$11*3,C18=eingabe!$D$7+eingabe!$D$11*2,C18=eingabe!$D$7+eingabe!$D$11*1,C18=eingabe!$D$7),D17+eingabe!$D$9-eingabe!$D$8,D17)</f>
        <v>9500</v>
      </c>
      <c r="E18" s="173">
        <f>IF(C18&lt;eingabe!$D$7,E17+eingabe!$D$6,E17+eingabe!$D$10)</f>
        <v>55500</v>
      </c>
      <c r="F18" s="174">
        <f>IF(C18&lt;eingabe!$D$7,F17+(eingabe!$D$6*$A18),F17+(eingabe!$D$10*$A18))</f>
        <v>67058.277335446226</v>
      </c>
      <c r="G18" s="16">
        <f>IF(OR($C18=eingabe!D$27,$C18=2*eingabe!D$27,$C18=3*eingabe!D$27,$C18=4*eingabe!D$27,$C18=5*eingabe!D$27,),mathe!G17-eingabe!D$28+eingabe!D$24,mathe!G17)</f>
        <v>60800</v>
      </c>
      <c r="H18" s="180">
        <f t="shared" si="0"/>
        <v>44000</v>
      </c>
      <c r="I18" s="181">
        <f t="shared" si="9"/>
        <v>53945.405631507769</v>
      </c>
      <c r="J18" s="18">
        <f>IF(OR($C18=eingabe!F$27,$C18=2*eingabe!F$27,$C18=3*eingabe!F$27,$C18=4*eingabe!F$27,$C18=5*eingabe!F$27,),mathe!J17-eingabe!F$28+eingabe!F$24,mathe!J17)</f>
        <v>41500</v>
      </c>
      <c r="K18" s="188">
        <f t="shared" si="1"/>
        <v>40700</v>
      </c>
      <c r="L18" s="189">
        <f t="shared" si="10"/>
        <v>49899.500209144688</v>
      </c>
      <c r="M18" s="20">
        <f>IF(OR($C18=eingabe!H$27,$C18=2*eingabe!H$27,$C18=3*eingabe!H$27,$C18=4*eingabe!H$27,$C18=5*eingabe!H$27,),mathe!M17-eingabe!H$28+eingabe!H$24,mathe!M17)</f>
        <v>79900</v>
      </c>
      <c r="N18" s="194">
        <f t="shared" si="2"/>
        <v>57200</v>
      </c>
      <c r="O18" s="131">
        <f t="shared" si="11"/>
        <v>70129.0273209601</v>
      </c>
      <c r="R18" s="12">
        <v>10</v>
      </c>
      <c r="S18" s="48">
        <f t="shared" si="3"/>
        <v>76558.277335446226</v>
      </c>
      <c r="T18" s="49">
        <f t="shared" si="4"/>
        <v>114745.40563150778</v>
      </c>
      <c r="U18" s="50">
        <f t="shared" si="5"/>
        <v>91399.500209144695</v>
      </c>
      <c r="V18" s="59">
        <f t="shared" si="6"/>
        <v>150029.0273209601</v>
      </c>
      <c r="W18" s="63">
        <f t="shared" si="7"/>
        <v>150029.0273209601</v>
      </c>
    </row>
    <row r="19" spans="1:23" x14ac:dyDescent="0.25">
      <c r="A19" s="1">
        <f t="shared" si="8"/>
        <v>1.5394540563150774</v>
      </c>
      <c r="C19" s="12">
        <v>11</v>
      </c>
      <c r="D19" s="14">
        <f>IF(OR(C19=eingabe!$D$7+eingabe!$D$11*5,C19=eingabe!$D$7+eingabe!$D$11*4,C19=eingabe!$D$7+eingabe!$D$11*3,C19=eingabe!$D$7+eingabe!$D$11*2,C19=eingabe!$D$7+eingabe!$D$11*1,C19=eingabe!$D$7),D18+eingabe!$D$9-eingabe!$D$8,D18)</f>
        <v>9500</v>
      </c>
      <c r="E19" s="173">
        <f>IF(C19&lt;eingabe!$D$7,E18+eingabe!$D$6,E18+eingabe!$D$10)</f>
        <v>60000</v>
      </c>
      <c r="F19" s="174">
        <f>IF(C19&lt;eingabe!$D$7,F18+(eingabe!$D$6*$A19),F18+(eingabe!$D$10*$A19))</f>
        <v>73985.82058886408</v>
      </c>
      <c r="G19" s="16">
        <f>IF(OR($C19=eingabe!D$27,$C19=2*eingabe!D$27,$C19=3*eingabe!D$27,$C19=4*eingabe!D$27,$C19=5*eingabe!D$27,),mathe!G18-eingabe!D$28+eingabe!D$24,mathe!G18)</f>
        <v>60800</v>
      </c>
      <c r="H19" s="180">
        <f t="shared" si="0"/>
        <v>48000</v>
      </c>
      <c r="I19" s="181">
        <f t="shared" si="9"/>
        <v>60103.221856768076</v>
      </c>
      <c r="J19" s="18">
        <f>IF(OR($C19=eingabe!F$27,$C19=2*eingabe!F$27,$C19=3*eingabe!F$27,$C19=4*eingabe!F$27,$C19=5*eingabe!F$27,),mathe!J18-eingabe!F$28+eingabe!F$24,mathe!J18)</f>
        <v>41500</v>
      </c>
      <c r="K19" s="188">
        <f t="shared" si="1"/>
        <v>44400</v>
      </c>
      <c r="L19" s="189">
        <f t="shared" si="10"/>
        <v>55595.480217510471</v>
      </c>
      <c r="M19" s="20">
        <f>IF(OR($C19=eingabe!H$27,$C19=2*eingabe!H$27,$C19=3*eingabe!H$27,$C19=4*eingabe!H$27,$C19=5*eingabe!H$27,),mathe!M18-eingabe!H$28+eingabe!H$24,mathe!M18)</f>
        <v>79900</v>
      </c>
      <c r="N19" s="194">
        <f t="shared" si="2"/>
        <v>62400</v>
      </c>
      <c r="O19" s="131">
        <f t="shared" si="11"/>
        <v>78134.188413798503</v>
      </c>
      <c r="R19" s="12">
        <v>11</v>
      </c>
      <c r="S19" s="48">
        <f t="shared" si="3"/>
        <v>83485.82058886408</v>
      </c>
      <c r="T19" s="49">
        <f t="shared" si="4"/>
        <v>120903.22185676807</v>
      </c>
      <c r="U19" s="50">
        <f t="shared" si="5"/>
        <v>97095.480217510471</v>
      </c>
      <c r="V19" s="59">
        <f t="shared" si="6"/>
        <v>158034.18841379852</v>
      </c>
      <c r="W19" s="63">
        <f t="shared" si="7"/>
        <v>158034.18841379852</v>
      </c>
    </row>
    <row r="20" spans="1:23" x14ac:dyDescent="0.25">
      <c r="A20" s="1">
        <f t="shared" si="8"/>
        <v>1.6010322185676804</v>
      </c>
      <c r="C20" s="12">
        <v>12</v>
      </c>
      <c r="D20" s="14">
        <f>IF(OR(C20=eingabe!$D$7+eingabe!$D$11*5,C20=eingabe!$D$7+eingabe!$D$11*4,C20=eingabe!$D$7+eingabe!$D$11*3,C20=eingabe!$D$7+eingabe!$D$11*2,C20=eingabe!$D$7+eingabe!$D$11*1,C20=eingabe!$D$7),D19+eingabe!$D$9-eingabe!$D$8,D19)</f>
        <v>9500</v>
      </c>
      <c r="E20" s="173">
        <f>IF(C20&lt;eingabe!$D$7,E19+eingabe!$D$6,E19+eingabe!$D$10)</f>
        <v>64500</v>
      </c>
      <c r="F20" s="174">
        <f>IF(C20&lt;eingabe!$D$7,F19+(eingabe!$D$6*$A20),F19+(eingabe!$D$10*$A20))</f>
        <v>81190.465572418645</v>
      </c>
      <c r="G20" s="16">
        <f>IF(OR($C20=eingabe!D$27,$C20=2*eingabe!D$27,$C20=3*eingabe!D$27,$C20=4*eingabe!D$27,$C20=5*eingabe!D$27,),mathe!G19-eingabe!D$28+eingabe!D$24,mathe!G19)</f>
        <v>60800</v>
      </c>
      <c r="H20" s="180">
        <f t="shared" si="0"/>
        <v>52000</v>
      </c>
      <c r="I20" s="181">
        <f t="shared" si="9"/>
        <v>66507.350731038794</v>
      </c>
      <c r="J20" s="18">
        <f>IF(OR($C20=eingabe!F$27,$C20=2*eingabe!F$27,$C20=3*eingabe!F$27,$C20=4*eingabe!F$27,$C20=5*eingabe!F$27,),mathe!J19-eingabe!F$28+eingabe!F$24,mathe!J19)</f>
        <v>41500</v>
      </c>
      <c r="K20" s="188">
        <f t="shared" si="1"/>
        <v>48100</v>
      </c>
      <c r="L20" s="189">
        <f t="shared" si="10"/>
        <v>61519.299426210884</v>
      </c>
      <c r="M20" s="20">
        <f>IF(OR($C20=eingabe!H$27,$C20=2*eingabe!H$27,$C20=3*eingabe!H$27,$C20=4*eingabe!H$27,$C20=5*eingabe!H$27,),mathe!M19-eingabe!H$28+eingabe!H$24,mathe!M19)</f>
        <v>79900</v>
      </c>
      <c r="N20" s="194">
        <f t="shared" si="2"/>
        <v>67600</v>
      </c>
      <c r="O20" s="131">
        <f t="shared" si="11"/>
        <v>86459.555950350448</v>
      </c>
      <c r="R20" s="12">
        <v>12</v>
      </c>
      <c r="S20" s="48">
        <f t="shared" si="3"/>
        <v>90690.465572418645</v>
      </c>
      <c r="T20" s="49">
        <f t="shared" si="4"/>
        <v>127307.35073103879</v>
      </c>
      <c r="U20" s="50">
        <f t="shared" si="5"/>
        <v>103019.29942621088</v>
      </c>
      <c r="V20" s="59">
        <f t="shared" si="6"/>
        <v>166359.55595035045</v>
      </c>
      <c r="W20" s="63">
        <f t="shared" si="7"/>
        <v>166359.55595035045</v>
      </c>
    </row>
    <row r="21" spans="1:23" x14ac:dyDescent="0.25">
      <c r="A21" s="1">
        <f t="shared" si="8"/>
        <v>1.6650735073103877</v>
      </c>
      <c r="C21" s="12">
        <v>13</v>
      </c>
      <c r="D21" s="14">
        <f>IF(OR(C21=eingabe!$D$7+eingabe!$D$11*5,C21=eingabe!$D$7+eingabe!$D$11*4,C21=eingabe!$D$7+eingabe!$D$11*3,C21=eingabe!$D$7+eingabe!$D$11*2,C21=eingabe!$D$7+eingabe!$D$11*1,C21=eingabe!$D$7),D20+eingabe!$D$9-eingabe!$D$8,D20)</f>
        <v>9500</v>
      </c>
      <c r="E21" s="173">
        <f>IF(C21&lt;eingabe!$D$7,E20+eingabe!$D$6,E20+eingabe!$D$10)</f>
        <v>69000</v>
      </c>
      <c r="F21" s="174">
        <f>IF(C21&lt;eingabe!$D$7,F20+(eingabe!$D$6*$A21),F20+(eingabe!$D$10*$A21))</f>
        <v>88683.296355315397</v>
      </c>
      <c r="G21" s="16">
        <f>IF(OR($C21=eingabe!D$27,$C21=2*eingabe!D$27,$C21=3*eingabe!D$27,$C21=4*eingabe!D$27,$C21=5*eingabe!D$27,),mathe!G20-eingabe!D$28+eingabe!D$24,mathe!G20)</f>
        <v>60800</v>
      </c>
      <c r="H21" s="180">
        <f t="shared" si="0"/>
        <v>56000</v>
      </c>
      <c r="I21" s="181">
        <f t="shared" si="9"/>
        <v>73167.644760280338</v>
      </c>
      <c r="J21" s="18">
        <f>IF(OR($C21=eingabe!F$27,$C21=2*eingabe!F$27,$C21=3*eingabe!F$27,$C21=4*eingabe!F$27,$C21=5*eingabe!F$27,),mathe!J20-eingabe!F$28+eingabe!F$24,mathe!J20)</f>
        <v>41500</v>
      </c>
      <c r="K21" s="188">
        <f t="shared" si="1"/>
        <v>51800</v>
      </c>
      <c r="L21" s="189">
        <f t="shared" si="10"/>
        <v>67680.071403259324</v>
      </c>
      <c r="M21" s="20">
        <f>IF(OR($C21=eingabe!H$27,$C21=2*eingabe!H$27,$C21=3*eingabe!H$27,$C21=4*eingabe!H$27,$C21=5*eingabe!H$27,),mathe!M20-eingabe!H$28+eingabe!H$24,mathe!M20)</f>
        <v>79900</v>
      </c>
      <c r="N21" s="194">
        <f t="shared" si="2"/>
        <v>72800</v>
      </c>
      <c r="O21" s="131">
        <f t="shared" si="11"/>
        <v>95117.938188364467</v>
      </c>
      <c r="R21" s="12">
        <v>13</v>
      </c>
      <c r="S21" s="48">
        <f t="shared" si="3"/>
        <v>98183.296355315397</v>
      </c>
      <c r="T21" s="49">
        <f t="shared" si="4"/>
        <v>133967.64476028032</v>
      </c>
      <c r="U21" s="50">
        <f t="shared" si="5"/>
        <v>109180.07140325932</v>
      </c>
      <c r="V21" s="59">
        <f t="shared" si="6"/>
        <v>175017.93818836447</v>
      </c>
      <c r="W21" s="63">
        <f t="shared" si="7"/>
        <v>175017.93818836447</v>
      </c>
    </row>
    <row r="22" spans="1:23" x14ac:dyDescent="0.25">
      <c r="A22" s="1">
        <f t="shared" si="8"/>
        <v>1.7316764476028033</v>
      </c>
      <c r="C22" s="12">
        <v>14</v>
      </c>
      <c r="D22" s="14">
        <f>IF(OR(C22=eingabe!$D$7+eingabe!$D$11*5,C22=eingabe!$D$7+eingabe!$D$11*4,C22=eingabe!$D$7+eingabe!$D$11*3,C22=eingabe!$D$7+eingabe!$D$11*2,C22=eingabe!$D$7+eingabe!$D$11*1,C22=eingabe!$D$7),D21+eingabe!$D$9-eingabe!$D$8,D21)</f>
        <v>19000</v>
      </c>
      <c r="E22" s="173">
        <f>IF(C22&lt;eingabe!$D$7,E21+eingabe!$D$6,E21+eingabe!$D$10)</f>
        <v>73500</v>
      </c>
      <c r="F22" s="174">
        <f>IF(C22&lt;eingabe!$D$7,F21+(eingabe!$D$6*$A22),F21+(eingabe!$D$10*$A22))</f>
        <v>96475.840369528014</v>
      </c>
      <c r="G22" s="16">
        <f>IF(OR($C22=eingabe!D$27,$C22=2*eingabe!D$27,$C22=3*eingabe!D$27,$C22=4*eingabe!D$27,$C22=5*eingabe!D$27,),mathe!G21-eingabe!D$28+eingabe!D$24,mathe!G21)</f>
        <v>60800</v>
      </c>
      <c r="H22" s="180">
        <f t="shared" si="0"/>
        <v>60000</v>
      </c>
      <c r="I22" s="181">
        <f t="shared" si="9"/>
        <v>80094.350550691554</v>
      </c>
      <c r="J22" s="18">
        <f>IF(OR($C22=eingabe!F$27,$C22=2*eingabe!F$27,$C22=3*eingabe!F$27,$C22=4*eingabe!F$27,$C22=5*eingabe!F$27,),mathe!J21-eingabe!F$28+eingabe!F$24,mathe!J21)</f>
        <v>41500</v>
      </c>
      <c r="K22" s="188">
        <f t="shared" si="1"/>
        <v>55500</v>
      </c>
      <c r="L22" s="189">
        <f t="shared" si="10"/>
        <v>74087.274259389698</v>
      </c>
      <c r="M22" s="20">
        <f>IF(OR($C22=eingabe!H$27,$C22=2*eingabe!H$27,$C22=3*eingabe!H$27,$C22=4*eingabe!H$27,$C22=5*eingabe!H$27,),mathe!M21-eingabe!H$28+eingabe!H$24,mathe!M21)</f>
        <v>79900</v>
      </c>
      <c r="N22" s="194">
        <f t="shared" si="2"/>
        <v>78000</v>
      </c>
      <c r="O22" s="131">
        <f t="shared" si="11"/>
        <v>104122.65571589905</v>
      </c>
      <c r="R22" s="12">
        <v>14</v>
      </c>
      <c r="S22" s="48">
        <f t="shared" si="3"/>
        <v>115475.84036952801</v>
      </c>
      <c r="T22" s="49">
        <f t="shared" si="4"/>
        <v>140894.35055069154</v>
      </c>
      <c r="U22" s="50">
        <f t="shared" si="5"/>
        <v>115587.2742593897</v>
      </c>
      <c r="V22" s="59">
        <f t="shared" si="6"/>
        <v>184022.65571589905</v>
      </c>
      <c r="W22" s="63">
        <f t="shared" si="7"/>
        <v>184022.65571589905</v>
      </c>
    </row>
    <row r="23" spans="1:23" x14ac:dyDescent="0.25">
      <c r="A23" s="1">
        <f t="shared" si="8"/>
        <v>1.8009435055069154</v>
      </c>
      <c r="C23" s="12">
        <v>15</v>
      </c>
      <c r="D23" s="14">
        <f>IF(OR(C23=eingabe!$D$7+eingabe!$D$11*5,C23=eingabe!$D$7+eingabe!$D$11*4,C23=eingabe!$D$7+eingabe!$D$11*3,C23=eingabe!$D$7+eingabe!$D$11*2,C23=eingabe!$D$7+eingabe!$D$11*1,C23=eingabe!$D$7),D22+eingabe!$D$9-eingabe!$D$8,D22)</f>
        <v>19000</v>
      </c>
      <c r="E23" s="173">
        <f>IF(C23&lt;eingabe!$D$7,E22+eingabe!$D$6,E22+eingabe!$D$10)</f>
        <v>78000</v>
      </c>
      <c r="F23" s="174">
        <f>IF(C23&lt;eingabe!$D$7,F22+(eingabe!$D$6*$A23),F22+(eingabe!$D$10*$A23))</f>
        <v>104580.08614430913</v>
      </c>
      <c r="G23" s="16">
        <f>IF(OR($C23=eingabe!D$27,$C23=2*eingabe!D$27,$C23=3*eingabe!D$27,$C23=4*eingabe!D$27,$C23=5*eingabe!D$27,),mathe!G22-eingabe!D$28+eingabe!D$24,mathe!G22)</f>
        <v>60800</v>
      </c>
      <c r="H23" s="180">
        <f t="shared" si="0"/>
        <v>64000</v>
      </c>
      <c r="I23" s="181">
        <f t="shared" si="9"/>
        <v>87298.124572719214</v>
      </c>
      <c r="J23" s="18">
        <f>IF(OR($C23=eingabe!F$27,$C23=2*eingabe!F$27,$C23=3*eingabe!F$27,$C23=4*eingabe!F$27,$C23=5*eingabe!F$27,),mathe!J22-eingabe!F$28+eingabe!F$24,mathe!J22)</f>
        <v>41500</v>
      </c>
      <c r="K23" s="188">
        <f t="shared" si="1"/>
        <v>59200</v>
      </c>
      <c r="L23" s="189">
        <f t="shared" si="10"/>
        <v>80750.765229765282</v>
      </c>
      <c r="M23" s="20">
        <f>IF(OR($C23=eingabe!H$27,$C23=2*eingabe!H$27,$C23=3*eingabe!H$27,$C23=4*eingabe!H$27,$C23=5*eingabe!H$27,),mathe!M22-eingabe!H$28+eingabe!H$24,mathe!M22)</f>
        <v>79900</v>
      </c>
      <c r="N23" s="194">
        <f t="shared" si="2"/>
        <v>83200</v>
      </c>
      <c r="O23" s="131">
        <f t="shared" si="11"/>
        <v>113487.561944535</v>
      </c>
      <c r="R23" s="12">
        <v>15</v>
      </c>
      <c r="S23" s="48">
        <f t="shared" si="3"/>
        <v>123580.08614430913</v>
      </c>
      <c r="T23" s="49">
        <f t="shared" si="4"/>
        <v>148098.12457271921</v>
      </c>
      <c r="U23" s="50">
        <f t="shared" si="5"/>
        <v>122250.76522976528</v>
      </c>
      <c r="V23" s="59">
        <f t="shared" si="6"/>
        <v>193387.561944535</v>
      </c>
      <c r="W23" s="63">
        <f t="shared" si="7"/>
        <v>193387.561944535</v>
      </c>
    </row>
    <row r="24" spans="1:23" x14ac:dyDescent="0.25">
      <c r="A24" s="1">
        <f t="shared" si="8"/>
        <v>1.8729812457271919</v>
      </c>
      <c r="C24" s="12">
        <v>16</v>
      </c>
      <c r="D24" s="14">
        <f>IF(OR(C24=eingabe!$D$7+eingabe!$D$11*5,C24=eingabe!$D$7+eingabe!$D$11*4,C24=eingabe!$D$7+eingabe!$D$11*3,C24=eingabe!$D$7+eingabe!$D$11*2,C24=eingabe!$D$7+eingabe!$D$11*1,C24=eingabe!$D$7),D23+eingabe!$D$9-eingabe!$D$8,D23)</f>
        <v>19000</v>
      </c>
      <c r="E24" s="173">
        <f>IF(C24&lt;eingabe!$D$7,E23+eingabe!$D$6,E23+eingabe!$D$10)</f>
        <v>82500</v>
      </c>
      <c r="F24" s="174">
        <f>IF(C24&lt;eingabe!$D$7,F23+(eingabe!$D$6*$A24),F23+(eingabe!$D$10*$A24))</f>
        <v>113008.50175008149</v>
      </c>
      <c r="G24" s="16">
        <f>IF(OR($C24=eingabe!D$27,$C24=2*eingabe!D$27,$C24=3*eingabe!D$27,$C24=4*eingabe!D$27,$C24=5*eingabe!D$27,),mathe!G23-eingabe!D$28+eingabe!D$24,mathe!G23)</f>
        <v>60800</v>
      </c>
      <c r="H24" s="180">
        <f t="shared" si="0"/>
        <v>68000</v>
      </c>
      <c r="I24" s="181">
        <f t="shared" si="9"/>
        <v>94790.049555627978</v>
      </c>
      <c r="J24" s="18">
        <f>IF(OR($C24=eingabe!F$27,$C24=2*eingabe!F$27,$C24=3*eingabe!F$27,$C24=4*eingabe!F$27,$C24=5*eingabe!F$27,),mathe!J23-eingabe!F$28+eingabe!F$24,mathe!J23)</f>
        <v>41500</v>
      </c>
      <c r="K24" s="188">
        <f t="shared" si="1"/>
        <v>62900</v>
      </c>
      <c r="L24" s="189">
        <f t="shared" si="10"/>
        <v>87680.795838955892</v>
      </c>
      <c r="M24" s="20">
        <f>IF(OR($C24=eingabe!H$27,$C24=2*eingabe!H$27,$C24=3*eingabe!H$27,$C24=4*eingabe!H$27,$C24=5*eingabe!H$27,),mathe!M23-eingabe!H$28+eingabe!H$24,mathe!M23)</f>
        <v>79900</v>
      </c>
      <c r="N24" s="194">
        <f t="shared" si="2"/>
        <v>88400</v>
      </c>
      <c r="O24" s="131">
        <f t="shared" si="11"/>
        <v>123227.0644223164</v>
      </c>
      <c r="R24" s="12">
        <v>16</v>
      </c>
      <c r="S24" s="48">
        <f t="shared" si="3"/>
        <v>132008.50175008149</v>
      </c>
      <c r="T24" s="49">
        <f t="shared" si="4"/>
        <v>155590.04955562798</v>
      </c>
      <c r="U24" s="50">
        <f t="shared" si="5"/>
        <v>129180.79583895589</v>
      </c>
      <c r="V24" s="59">
        <f t="shared" si="6"/>
        <v>203127.06442231638</v>
      </c>
      <c r="W24" s="63">
        <f t="shared" si="7"/>
        <v>203127.06442231638</v>
      </c>
    </row>
    <row r="25" spans="1:23" x14ac:dyDescent="0.25">
      <c r="A25" s="1">
        <f t="shared" si="8"/>
        <v>1.9479004955562795</v>
      </c>
      <c r="C25" s="12">
        <v>17</v>
      </c>
      <c r="D25" s="14">
        <f>IF(OR(C25=eingabe!$D$7+eingabe!$D$11*5,C25=eingabe!$D$7+eingabe!$D$11*4,C25=eingabe!$D$7+eingabe!$D$11*3,C25=eingabe!$D$7+eingabe!$D$11*2,C25=eingabe!$D$7+eingabe!$D$11*1,C25=eingabe!$D$7),D24+eingabe!$D$9-eingabe!$D$8,D24)</f>
        <v>19000</v>
      </c>
      <c r="E25" s="173">
        <f>IF(C25&lt;eingabe!$D$7,E24+eingabe!$D$6,E24+eingabe!$D$10)</f>
        <v>87000</v>
      </c>
      <c r="F25" s="174">
        <f>IF(C25&lt;eingabe!$D$7,F24+(eingabe!$D$6*$A25),F24+(eingabe!$D$10*$A25))</f>
        <v>121774.05398008475</v>
      </c>
      <c r="G25" s="16">
        <f>IF(OR($C25=eingabe!D$27,$C25=2*eingabe!D$27,$C25=3*eingabe!D$27,$C25=4*eingabe!D$27,$C25=5*eingabe!D$27,),mathe!G24-eingabe!D$28+eingabe!D$24,mathe!G24)</f>
        <v>60800</v>
      </c>
      <c r="H25" s="180">
        <f t="shared" si="0"/>
        <v>72000</v>
      </c>
      <c r="I25" s="181">
        <f t="shared" si="9"/>
        <v>102581.65153785309</v>
      </c>
      <c r="J25" s="18">
        <f>IF(OR($C25=eingabe!F$27,$C25=2*eingabe!F$27,$C25=3*eingabe!F$27,$C25=4*eingabe!F$27,$C25=5*eingabe!F$27,),mathe!J24-eingabe!F$28+eingabe!F$24,mathe!J24)</f>
        <v>41500</v>
      </c>
      <c r="K25" s="188">
        <f t="shared" si="1"/>
        <v>66600</v>
      </c>
      <c r="L25" s="189">
        <f t="shared" si="10"/>
        <v>94888.02767251413</v>
      </c>
      <c r="M25" s="20">
        <f>IF(OR($C25=eingabe!H$27,$C25=2*eingabe!H$27,$C25=3*eingabe!H$27,$C25=4*eingabe!H$27,$C25=5*eingabe!H$27,),mathe!M24-eingabe!H$28+eingabe!H$24,mathe!M24)</f>
        <v>79900</v>
      </c>
      <c r="N25" s="194">
        <f t="shared" si="2"/>
        <v>93600</v>
      </c>
      <c r="O25" s="131">
        <f t="shared" si="11"/>
        <v>133356.14699920904</v>
      </c>
      <c r="R25" s="12">
        <v>17</v>
      </c>
      <c r="S25" s="48">
        <f t="shared" si="3"/>
        <v>140774.05398008475</v>
      </c>
      <c r="T25" s="49">
        <f t="shared" si="4"/>
        <v>163381.65153785309</v>
      </c>
      <c r="U25" s="50">
        <f t="shared" si="5"/>
        <v>136388.02767251414</v>
      </c>
      <c r="V25" s="59">
        <f t="shared" si="6"/>
        <v>213256.14699920904</v>
      </c>
      <c r="W25" s="63">
        <f t="shared" si="7"/>
        <v>213256.14699920904</v>
      </c>
    </row>
    <row r="26" spans="1:23" x14ac:dyDescent="0.25">
      <c r="A26" s="1">
        <f t="shared" si="8"/>
        <v>2.0258165153785308</v>
      </c>
      <c r="C26" s="12">
        <v>18</v>
      </c>
      <c r="D26" s="14">
        <f>IF(OR(C26=eingabe!$D$7+eingabe!$D$11*5,C26=eingabe!$D$7+eingabe!$D$11*4,C26=eingabe!$D$7+eingabe!$D$11*3,C26=eingabe!$D$7+eingabe!$D$11*2,C26=eingabe!$D$7+eingabe!$D$11*1,C26=eingabe!$D$7),D25+eingabe!$D$9-eingabe!$D$8,D25)</f>
        <v>19000</v>
      </c>
      <c r="E26" s="173">
        <f>IF(C26&lt;eingabe!$D$7,E25+eingabe!$D$6,E25+eingabe!$D$10)</f>
        <v>91500</v>
      </c>
      <c r="F26" s="174">
        <f>IF(C26&lt;eingabe!$D$7,F25+(eingabe!$D$6*$A26),F25+(eingabe!$D$10*$A26))</f>
        <v>130890.22829928814</v>
      </c>
      <c r="G26" s="16">
        <f>IF(OR($C26=eingabe!D$27,$C26=2*eingabe!D$27,$C26=3*eingabe!D$27,$C26=4*eingabe!D$27,$C26=5*eingabe!D$27,),mathe!G25-eingabe!D$28+eingabe!D$24,mathe!G25)</f>
        <v>60800</v>
      </c>
      <c r="H26" s="180">
        <f t="shared" si="0"/>
        <v>76000</v>
      </c>
      <c r="I26" s="181">
        <f t="shared" si="9"/>
        <v>110684.91759936721</v>
      </c>
      <c r="J26" s="18">
        <f>IF(OR($C26=eingabe!F$27,$C26=2*eingabe!F$27,$C26=3*eingabe!F$27,$C26=4*eingabe!F$27,$C26=5*eingabe!F$27,),mathe!J25-eingabe!F$28+eingabe!F$24,mathe!J25)</f>
        <v>41500</v>
      </c>
      <c r="K26" s="188">
        <f t="shared" si="1"/>
        <v>70300</v>
      </c>
      <c r="L26" s="189">
        <f t="shared" si="10"/>
        <v>102383.54877941469</v>
      </c>
      <c r="M26" s="20">
        <f>IF(OR($C26=eingabe!H$27,$C26=2*eingabe!H$27,$C26=3*eingabe!H$27,$C26=4*eingabe!H$27,$C26=5*eingabe!H$27,),mathe!M25-eingabe!H$28+eingabe!H$24,mathe!M25)</f>
        <v>79900</v>
      </c>
      <c r="N26" s="194">
        <f t="shared" si="2"/>
        <v>98800</v>
      </c>
      <c r="O26" s="131">
        <f t="shared" si="11"/>
        <v>143890.39287917741</v>
      </c>
      <c r="R26" s="12">
        <v>18</v>
      </c>
      <c r="S26" s="48">
        <f t="shared" si="3"/>
        <v>149890.22829928814</v>
      </c>
      <c r="T26" s="49">
        <f t="shared" si="4"/>
        <v>171484.91759936721</v>
      </c>
      <c r="U26" s="50">
        <f t="shared" si="5"/>
        <v>143883.54877941468</v>
      </c>
      <c r="V26" s="59">
        <f t="shared" si="6"/>
        <v>223790.39287917741</v>
      </c>
      <c r="W26" s="63">
        <f t="shared" si="7"/>
        <v>223790.39287917741</v>
      </c>
    </row>
    <row r="27" spans="1:23" x14ac:dyDescent="0.25">
      <c r="A27" s="1">
        <f t="shared" si="8"/>
        <v>2.1068491759936721</v>
      </c>
      <c r="C27" s="12">
        <v>19</v>
      </c>
      <c r="D27" s="14">
        <f>IF(OR(C27=eingabe!$D$7+eingabe!$D$11*5,C27=eingabe!$D$7+eingabe!$D$11*4,C27=eingabe!$D$7+eingabe!$D$11*3,C27=eingabe!$D$7+eingabe!$D$11*2,C27=eingabe!$D$7+eingabe!$D$11*1,C27=eingabe!$D$7),D26+eingabe!$D$9-eingabe!$D$8,D26)</f>
        <v>19000</v>
      </c>
      <c r="E27" s="173">
        <f>IF(C27&lt;eingabe!$D$7,E26+eingabe!$D$6,E26+eingabe!$D$10)</f>
        <v>96000</v>
      </c>
      <c r="F27" s="174">
        <f>IF(C27&lt;eingabe!$D$7,F26+(eingabe!$D$6*$A27),F26+(eingabe!$D$10*$A27))</f>
        <v>140371.04959125965</v>
      </c>
      <c r="G27" s="16">
        <f>IF(OR($C27=eingabe!D$27,$C27=2*eingabe!D$27,$C27=3*eingabe!D$27,$C27=4*eingabe!D$27,$C27=5*eingabe!D$27,),mathe!G26-eingabe!D$28+eingabe!D$24,mathe!G26)</f>
        <v>60800</v>
      </c>
      <c r="H27" s="180">
        <f t="shared" si="0"/>
        <v>80000</v>
      </c>
      <c r="I27" s="181">
        <f t="shared" si="9"/>
        <v>119112.3143033419</v>
      </c>
      <c r="J27" s="18">
        <f>IF(OR($C27=eingabe!F$27,$C27=2*eingabe!F$27,$C27=3*eingabe!F$27,$C27=4*eingabe!F$27,$C27=5*eingabe!F$27,),mathe!J26-eingabe!F$28+eingabe!F$24,mathe!J26)</f>
        <v>41500</v>
      </c>
      <c r="K27" s="188">
        <f t="shared" si="1"/>
        <v>74000</v>
      </c>
      <c r="L27" s="189">
        <f t="shared" si="10"/>
        <v>110178.89073059127</v>
      </c>
      <c r="M27" s="20">
        <f>IF(OR($C27=eingabe!H$27,$C27=2*eingabe!H$27,$C27=3*eingabe!H$27,$C27=4*eingabe!H$27,$C27=5*eingabe!H$27,),mathe!M26-eingabe!H$28+eingabe!H$24,mathe!M26)</f>
        <v>79900</v>
      </c>
      <c r="N27" s="194">
        <f t="shared" si="2"/>
        <v>104000</v>
      </c>
      <c r="O27" s="131">
        <f t="shared" si="11"/>
        <v>154846.00859434452</v>
      </c>
      <c r="R27" s="12">
        <v>19</v>
      </c>
      <c r="S27" s="48">
        <f t="shared" si="3"/>
        <v>159371.04959125965</v>
      </c>
      <c r="T27" s="49">
        <f t="shared" si="4"/>
        <v>179912.3143033419</v>
      </c>
      <c r="U27" s="50">
        <f t="shared" si="5"/>
        <v>151678.89073059126</v>
      </c>
      <c r="V27" s="59">
        <f t="shared" si="6"/>
        <v>234746.00859434452</v>
      </c>
      <c r="W27" s="63">
        <f t="shared" si="7"/>
        <v>234746.00859434452</v>
      </c>
    </row>
    <row r="28" spans="1:23" x14ac:dyDescent="0.25">
      <c r="A28" s="1">
        <f t="shared" si="8"/>
        <v>2.191123143033419</v>
      </c>
      <c r="C28" s="12">
        <v>20</v>
      </c>
      <c r="D28" s="14">
        <f>IF(OR(C28=eingabe!$D$7+eingabe!$D$11*5,C28=eingabe!$D$7+eingabe!$D$11*4,C28=eingabe!$D$7+eingabe!$D$11*3,C28=eingabe!$D$7+eingabe!$D$11*2,C28=eingabe!$D$7+eingabe!$D$11*1,C28=eingabe!$D$7),D27+eingabe!$D$9-eingabe!$D$8,D27)</f>
        <v>19000</v>
      </c>
      <c r="E28" s="173">
        <f>IF(C28&lt;eingabe!$D$7,E27+eingabe!$D$6,E27+eingabe!$D$10)</f>
        <v>100500</v>
      </c>
      <c r="F28" s="174">
        <f>IF(C28&lt;eingabe!$D$7,F27+(eingabe!$D$6*$A28),F27+(eingabe!$D$10*$A28))</f>
        <v>150231.10373491005</v>
      </c>
      <c r="G28" s="16">
        <f>IF(OR($C28=eingabe!D$27,$C28=2*eingabe!D$27,$C28=3*eingabe!D$27,$C28=4*eingabe!D$27,$C28=5*eingabe!D$27,),mathe!G27-eingabe!D$28+eingabe!D$24,mathe!G27)</f>
        <v>89600</v>
      </c>
      <c r="H28" s="180">
        <f t="shared" si="0"/>
        <v>84000</v>
      </c>
      <c r="I28" s="181">
        <f t="shared" si="9"/>
        <v>127876.80687547558</v>
      </c>
      <c r="J28" s="18">
        <f>IF(OR($C28=eingabe!F$27,$C28=2*eingabe!F$27,$C28=3*eingabe!F$27,$C28=4*eingabe!F$27,$C28=5*eingabe!F$27,),mathe!J27-eingabe!F$28+eingabe!F$24,mathe!J27)</f>
        <v>61000</v>
      </c>
      <c r="K28" s="188">
        <f t="shared" si="1"/>
        <v>77700</v>
      </c>
      <c r="L28" s="189">
        <f t="shared" si="10"/>
        <v>118286.04635981492</v>
      </c>
      <c r="M28" s="20">
        <f>IF(OR($C28=eingabe!H$27,$C28=2*eingabe!H$27,$C28=3*eingabe!H$27,$C28=4*eingabe!H$27,$C28=5*eingabe!H$27,),mathe!M27-eingabe!H$28+eingabe!H$24,mathe!M27)</f>
        <v>117800</v>
      </c>
      <c r="N28" s="194">
        <f t="shared" si="2"/>
        <v>109200</v>
      </c>
      <c r="O28" s="131">
        <f t="shared" si="11"/>
        <v>166239.84893811829</v>
      </c>
      <c r="R28" s="12">
        <v>20</v>
      </c>
      <c r="S28" s="48">
        <f t="shared" si="3"/>
        <v>169231.10373491005</v>
      </c>
      <c r="T28" s="49">
        <f t="shared" si="4"/>
        <v>217476.80687547557</v>
      </c>
      <c r="U28" s="50">
        <f t="shared" si="5"/>
        <v>179286.04635981494</v>
      </c>
      <c r="V28" s="59">
        <f t="shared" si="6"/>
        <v>284039.84893811832</v>
      </c>
      <c r="W28" s="63">
        <f t="shared" si="7"/>
        <v>284039.84893811832</v>
      </c>
    </row>
    <row r="29" spans="1:23" x14ac:dyDescent="0.25">
      <c r="A29" s="1">
        <f t="shared" si="8"/>
        <v>2.278768068754756</v>
      </c>
      <c r="C29" s="12">
        <v>21</v>
      </c>
      <c r="D29" s="14">
        <f>IF(OR(C29=eingabe!$D$7+eingabe!$D$11*5,C29=eingabe!$D$7+eingabe!$D$11*4,C29=eingabe!$D$7+eingabe!$D$11*3,C29=eingabe!$D$7+eingabe!$D$11*2,C29=eingabe!$D$7+eingabe!$D$11*1,C29=eingabe!$D$7),D28+eingabe!$D$9-eingabe!$D$8,D28)</f>
        <v>19000</v>
      </c>
      <c r="E29" s="173">
        <f>IF(C29&lt;eingabe!$D$7,E28+eingabe!$D$6,E28+eingabe!$D$10)</f>
        <v>105000</v>
      </c>
      <c r="F29" s="174">
        <f>IF(C29&lt;eingabe!$D$7,F28+(eingabe!$D$6*$A29),F28+(eingabe!$D$10*$A29))</f>
        <v>160485.56004430645</v>
      </c>
      <c r="G29" s="16">
        <f>IF(OR($C29=eingabe!D$27,$C29=2*eingabe!D$27,$C29=3*eingabe!D$27,$C29=4*eingabe!D$27,$C29=5*eingabe!D$27,),mathe!G28-eingabe!D$28+eingabe!D$24,mathe!G28)</f>
        <v>89600</v>
      </c>
      <c r="H29" s="180">
        <f t="shared" ref="H29:H58" si="12">H28+$H$8</f>
        <v>88000</v>
      </c>
      <c r="I29" s="181">
        <f t="shared" si="9"/>
        <v>136991.87915049461</v>
      </c>
      <c r="J29" s="18">
        <f>IF(OR($C29=eingabe!F$27,$C29=2*eingabe!F$27,$C29=3*eingabe!F$27,$C29=4*eingabe!F$27,$C29=5*eingabe!F$27,),mathe!J28-eingabe!F$28+eingabe!F$24,mathe!J28)</f>
        <v>61000</v>
      </c>
      <c r="K29" s="188">
        <f t="shared" ref="K29:K58" si="13">K28+$K$8</f>
        <v>81400</v>
      </c>
      <c r="L29" s="189">
        <f t="shared" si="10"/>
        <v>126717.48821420752</v>
      </c>
      <c r="M29" s="20">
        <f>IF(OR($C29=eingabe!H$27,$C29=2*eingabe!H$27,$C29=3*eingabe!H$27,$C29=4*eingabe!H$27,$C29=5*eingabe!H$27,),mathe!M28-eingabe!H$28+eingabe!H$24,mathe!M28)</f>
        <v>117800</v>
      </c>
      <c r="N29" s="194">
        <f t="shared" si="2"/>
        <v>114400</v>
      </c>
      <c r="O29" s="131">
        <f t="shared" si="11"/>
        <v>178089.44289564301</v>
      </c>
      <c r="R29" s="12">
        <v>21</v>
      </c>
      <c r="S29" s="48">
        <f t="shared" si="3"/>
        <v>179485.56004430645</v>
      </c>
      <c r="T29" s="49">
        <f t="shared" si="4"/>
        <v>226591.87915049461</v>
      </c>
      <c r="U29" s="50">
        <f t="shared" si="5"/>
        <v>187717.48821420752</v>
      </c>
      <c r="V29" s="59">
        <f t="shared" si="6"/>
        <v>295889.44289564301</v>
      </c>
      <c r="W29" s="63">
        <f t="shared" si="7"/>
        <v>295889.44289564301</v>
      </c>
    </row>
    <row r="30" spans="1:23" x14ac:dyDescent="0.25">
      <c r="A30" s="1">
        <f t="shared" si="8"/>
        <v>2.3699187915049462</v>
      </c>
      <c r="C30" s="12">
        <v>22</v>
      </c>
      <c r="D30" s="14">
        <f>IF(OR(C30=eingabe!$D$7+eingabe!$D$11*5,C30=eingabe!$D$7+eingabe!$D$11*4,C30=eingabe!$D$7+eingabe!$D$11*3,C30=eingabe!$D$7+eingabe!$D$11*2,C30=eingabe!$D$7+eingabe!$D$11*1,C30=eingabe!$D$7),D29+eingabe!$D$9-eingabe!$D$8,D29)</f>
        <v>19000</v>
      </c>
      <c r="E30" s="173">
        <f>IF(C30&lt;eingabe!$D$7,E29+eingabe!$D$6,E29+eingabe!$D$10)</f>
        <v>109500</v>
      </c>
      <c r="F30" s="174">
        <f>IF(C30&lt;eingabe!$D$7,F29+(eingabe!$D$6*$A30),F29+(eingabe!$D$10*$A30))</f>
        <v>171150.1946060787</v>
      </c>
      <c r="G30" s="16">
        <f>IF(OR($C30=eingabe!D$27,$C30=2*eingabe!D$27,$C30=3*eingabe!D$27,$C30=4*eingabe!D$27,$C30=5*eingabe!D$27,),mathe!G29-eingabe!D$28+eingabe!D$24,mathe!G29)</f>
        <v>89600</v>
      </c>
      <c r="H30" s="180">
        <f t="shared" si="12"/>
        <v>92000</v>
      </c>
      <c r="I30" s="181">
        <f t="shared" si="9"/>
        <v>146471.5543165144</v>
      </c>
      <c r="J30" s="18">
        <f>IF(OR($C30=eingabe!F$27,$C30=2*eingabe!F$27,$C30=3*eingabe!F$27,$C30=4*eingabe!F$27,$C30=5*eingabe!F$27,),mathe!J29-eingabe!F$28+eingabe!F$24,mathe!J29)</f>
        <v>61000</v>
      </c>
      <c r="K30" s="188">
        <f t="shared" si="13"/>
        <v>85100</v>
      </c>
      <c r="L30" s="189">
        <f t="shared" si="10"/>
        <v>135486.18774277583</v>
      </c>
      <c r="M30" s="20">
        <f>IF(OR($C30=eingabe!H$27,$C30=2*eingabe!H$27,$C30=3*eingabe!H$27,$C30=4*eingabe!H$27,$C30=5*eingabe!H$27,),mathe!M29-eingabe!H$28+eingabe!H$24,mathe!M29)</f>
        <v>117800</v>
      </c>
      <c r="N30" s="194">
        <f t="shared" si="2"/>
        <v>119600</v>
      </c>
      <c r="O30" s="131">
        <f t="shared" si="11"/>
        <v>190413.02061146873</v>
      </c>
      <c r="R30" s="12">
        <v>22</v>
      </c>
      <c r="S30" s="48">
        <f t="shared" si="3"/>
        <v>190150.1946060787</v>
      </c>
      <c r="T30" s="49">
        <f t="shared" si="4"/>
        <v>236071.5543165144</v>
      </c>
      <c r="U30" s="50">
        <f t="shared" si="5"/>
        <v>196486.18774277583</v>
      </c>
      <c r="V30" s="59">
        <f t="shared" si="6"/>
        <v>308213.0206114687</v>
      </c>
      <c r="W30" s="63">
        <f t="shared" si="7"/>
        <v>308213.0206114687</v>
      </c>
    </row>
    <row r="31" spans="1:23" x14ac:dyDescent="0.25">
      <c r="A31" s="1">
        <f t="shared" si="8"/>
        <v>2.464715543165144</v>
      </c>
      <c r="C31" s="12">
        <v>23</v>
      </c>
      <c r="D31" s="14">
        <f>IF(OR(C31=eingabe!$D$7+eingabe!$D$11*5,C31=eingabe!$D$7+eingabe!$D$11*4,C31=eingabe!$D$7+eingabe!$D$11*3,C31=eingabe!$D$7+eingabe!$D$11*2,C31=eingabe!$D$7+eingabe!$D$11*1,C31=eingabe!$D$7),D30+eingabe!$D$9-eingabe!$D$8,D30)</f>
        <v>19000</v>
      </c>
      <c r="E31" s="173">
        <f>IF(C31&lt;eingabe!$D$7,E30+eingabe!$D$6,E30+eingabe!$D$10)</f>
        <v>114000</v>
      </c>
      <c r="F31" s="174">
        <f>IF(C31&lt;eingabe!$D$7,F30+(eingabe!$D$6*$A31),F30+(eingabe!$D$10*$A31))</f>
        <v>182241.41455032185</v>
      </c>
      <c r="G31" s="16">
        <f>IF(OR($C31=eingabe!D$27,$C31=2*eingabe!D$27,$C31=3*eingabe!D$27,$C31=4*eingabe!D$27,$C31=5*eingabe!D$27,),mathe!G30-eingabe!D$28+eingabe!D$24,mathe!G30)</f>
        <v>89600</v>
      </c>
      <c r="H31" s="180">
        <f t="shared" si="12"/>
        <v>96000</v>
      </c>
      <c r="I31" s="181">
        <f t="shared" si="9"/>
        <v>156330.41648917497</v>
      </c>
      <c r="J31" s="18">
        <f>IF(OR($C31=eingabe!F$27,$C31=2*eingabe!F$27,$C31=3*eingabe!F$27,$C31=4*eingabe!F$27,$C31=5*eingabe!F$27,),mathe!J30-eingabe!F$28+eingabe!F$24,mathe!J30)</f>
        <v>61000</v>
      </c>
      <c r="K31" s="188">
        <f t="shared" si="13"/>
        <v>88800</v>
      </c>
      <c r="L31" s="189">
        <f t="shared" si="10"/>
        <v>144605.63525248686</v>
      </c>
      <c r="M31" s="20">
        <f>IF(OR($C31=eingabe!H$27,$C31=2*eingabe!H$27,$C31=3*eingabe!H$27,$C31=4*eingabe!H$27,$C31=5*eingabe!H$27,),mathe!M30-eingabe!H$28+eingabe!H$24,mathe!M30)</f>
        <v>117800</v>
      </c>
      <c r="N31" s="194">
        <f t="shared" si="2"/>
        <v>124800</v>
      </c>
      <c r="O31" s="131">
        <f t="shared" si="11"/>
        <v>203229.54143592747</v>
      </c>
      <c r="R31" s="12">
        <v>23</v>
      </c>
      <c r="S31" s="48">
        <f t="shared" si="3"/>
        <v>201241.41455032185</v>
      </c>
      <c r="T31" s="49">
        <f t="shared" si="4"/>
        <v>245930.41648917497</v>
      </c>
      <c r="U31" s="50">
        <f t="shared" si="5"/>
        <v>205605.63525248686</v>
      </c>
      <c r="V31" s="59">
        <f t="shared" si="6"/>
        <v>321029.5414359275</v>
      </c>
      <c r="W31" s="63">
        <f t="shared" si="7"/>
        <v>321029.5414359275</v>
      </c>
    </row>
    <row r="32" spans="1:23" x14ac:dyDescent="0.25">
      <c r="A32" s="1">
        <f t="shared" si="8"/>
        <v>2.5633041648917496</v>
      </c>
      <c r="C32" s="12">
        <v>24</v>
      </c>
      <c r="D32" s="14">
        <f>IF(OR(C32=eingabe!$D$7+eingabe!$D$11*5,C32=eingabe!$D$7+eingabe!$D$11*4,C32=eingabe!$D$7+eingabe!$D$11*3,C32=eingabe!$D$7+eingabe!$D$11*2,C32=eingabe!$D$7+eingabe!$D$11*1,C32=eingabe!$D$7),D31+eingabe!$D$9-eingabe!$D$8,D31)</f>
        <v>28500</v>
      </c>
      <c r="E32" s="173">
        <f>IF(C32&lt;eingabe!$D$7,E31+eingabe!$D$6,E31+eingabe!$D$10)</f>
        <v>118500</v>
      </c>
      <c r="F32" s="174">
        <f>IF(C32&lt;eingabe!$D$7,F31+(eingabe!$D$6*$A32),F31+(eingabe!$D$10*$A32))</f>
        <v>193776.28329233473</v>
      </c>
      <c r="G32" s="16">
        <f>IF(OR($C32=eingabe!D$27,$C32=2*eingabe!D$27,$C32=3*eingabe!D$27,$C32=4*eingabe!D$27,$C32=5*eingabe!D$27,),mathe!G31-eingabe!D$28+eingabe!D$24,mathe!G31)</f>
        <v>89600</v>
      </c>
      <c r="H32" s="180">
        <f t="shared" si="12"/>
        <v>100000</v>
      </c>
      <c r="I32" s="181">
        <f t="shared" si="9"/>
        <v>166583.63314874197</v>
      </c>
      <c r="J32" s="18">
        <f>IF(OR($C32=eingabe!F$27,$C32=2*eingabe!F$27,$C32=3*eingabe!F$27,$C32=4*eingabe!F$27,$C32=5*eingabe!F$27,),mathe!J31-eingabe!F$28+eingabe!F$24,mathe!J31)</f>
        <v>61000</v>
      </c>
      <c r="K32" s="188">
        <f t="shared" si="13"/>
        <v>92500</v>
      </c>
      <c r="L32" s="189">
        <f t="shared" si="10"/>
        <v>154089.86066258632</v>
      </c>
      <c r="M32" s="20">
        <f>IF(OR($C32=eingabe!H$27,$C32=2*eingabe!H$27,$C32=3*eingabe!H$27,$C32=4*eingabe!H$27,$C32=5*eingabe!H$27,),mathe!M31-eingabe!H$28+eingabe!H$24,mathe!M31)</f>
        <v>117800</v>
      </c>
      <c r="N32" s="194">
        <f t="shared" si="2"/>
        <v>130000</v>
      </c>
      <c r="O32" s="131">
        <f t="shared" si="11"/>
        <v>216558.72309336456</v>
      </c>
      <c r="R32" s="12">
        <v>24</v>
      </c>
      <c r="S32" s="48">
        <f t="shared" si="3"/>
        <v>222276.28329233473</v>
      </c>
      <c r="T32" s="49">
        <f t="shared" si="4"/>
        <v>256183.63314874197</v>
      </c>
      <c r="U32" s="50">
        <f t="shared" si="5"/>
        <v>215089.86066258632</v>
      </c>
      <c r="V32" s="59">
        <f t="shared" si="6"/>
        <v>334358.72309336456</v>
      </c>
      <c r="W32" s="63">
        <f t="shared" si="7"/>
        <v>334358.72309336456</v>
      </c>
    </row>
    <row r="33" spans="1:23" x14ac:dyDescent="0.25">
      <c r="A33" s="1">
        <f t="shared" si="8"/>
        <v>2.6658363314874194</v>
      </c>
      <c r="C33" s="12">
        <v>25</v>
      </c>
      <c r="D33" s="14">
        <f>IF(OR(C33=eingabe!$D$7+eingabe!$D$11*5,C33=eingabe!$D$7+eingabe!$D$11*4,C33=eingabe!$D$7+eingabe!$D$11*3,C33=eingabe!$D$7+eingabe!$D$11*2,C33=eingabe!$D$7+eingabe!$D$11*1,C33=eingabe!$D$7),D32+eingabe!$D$9-eingabe!$D$8,D32)</f>
        <v>28500</v>
      </c>
      <c r="E33" s="173">
        <f>IF(C33&lt;eingabe!$D$7,E32+eingabe!$D$6,E32+eingabe!$D$10)</f>
        <v>123000</v>
      </c>
      <c r="F33" s="174">
        <f>IF(C33&lt;eingabe!$D$7,F32+(eingabe!$D$6*$A33),F32+(eingabe!$D$10*$A33))</f>
        <v>205772.54678402812</v>
      </c>
      <c r="G33" s="16">
        <f>IF(OR($C33=eingabe!D$27,$C33=2*eingabe!D$27,$C33=3*eingabe!D$27,$C33=4*eingabe!D$27,$C33=5*eingabe!D$27,),mathe!G32-eingabe!D$28+eingabe!D$24,mathe!G32)</f>
        <v>89600</v>
      </c>
      <c r="H33" s="180">
        <f t="shared" si="12"/>
        <v>104000</v>
      </c>
      <c r="I33" s="181">
        <f t="shared" si="9"/>
        <v>177246.97847469166</v>
      </c>
      <c r="J33" s="18">
        <f>IF(OR($C33=eingabe!F$27,$C33=2*eingabe!F$27,$C33=3*eingabe!F$27,$C33=4*eingabe!F$27,$C33=5*eingabe!F$27,),mathe!J32-eingabe!F$28+eingabe!F$24,mathe!J32)</f>
        <v>61000</v>
      </c>
      <c r="K33" s="188">
        <f t="shared" si="13"/>
        <v>96200</v>
      </c>
      <c r="L33" s="189">
        <f t="shared" si="10"/>
        <v>163953.45508908978</v>
      </c>
      <c r="M33" s="20">
        <f>IF(OR($C33=eingabe!H$27,$C33=2*eingabe!H$27,$C33=3*eingabe!H$27,$C33=4*eingabe!H$27,$C33=5*eingabe!H$27,),mathe!M32-eingabe!H$28+eingabe!H$24,mathe!M32)</f>
        <v>117800</v>
      </c>
      <c r="N33" s="194">
        <f t="shared" si="2"/>
        <v>135200</v>
      </c>
      <c r="O33" s="131">
        <f t="shared" si="11"/>
        <v>230421.07201709916</v>
      </c>
      <c r="R33" s="12">
        <v>25</v>
      </c>
      <c r="S33" s="48">
        <f t="shared" si="3"/>
        <v>234272.54678402812</v>
      </c>
      <c r="T33" s="49">
        <f t="shared" si="4"/>
        <v>266846.97847469163</v>
      </c>
      <c r="U33" s="50">
        <f t="shared" si="5"/>
        <v>224953.45508908978</v>
      </c>
      <c r="V33" s="59">
        <f t="shared" si="6"/>
        <v>348221.07201709913</v>
      </c>
      <c r="W33" s="63">
        <f t="shared" si="7"/>
        <v>348221.07201709913</v>
      </c>
    </row>
    <row r="34" spans="1:23" x14ac:dyDescent="0.25">
      <c r="A34" s="1">
        <f t="shared" si="8"/>
        <v>2.772469784746916</v>
      </c>
      <c r="C34" s="12">
        <v>26</v>
      </c>
      <c r="D34" s="14">
        <f>IF(OR(C34=eingabe!$D$7+eingabe!$D$11*5,C34=eingabe!$D$7+eingabe!$D$11*4,C34=eingabe!$D$7+eingabe!$D$11*3,C34=eingabe!$D$7+eingabe!$D$11*2,C34=eingabe!$D$7+eingabe!$D$11*1,C34=eingabe!$D$7),D33+eingabe!$D$9-eingabe!$D$8,D33)</f>
        <v>28500</v>
      </c>
      <c r="E34" s="173">
        <f>IF(C34&lt;eingabe!$D$7,E33+eingabe!$D$6,E33+eingabe!$D$10)</f>
        <v>127500</v>
      </c>
      <c r="F34" s="174">
        <f>IF(C34&lt;eingabe!$D$7,F33+(eingabe!$D$6*$A34),F33+(eingabe!$D$10*$A34))</f>
        <v>218248.66081538924</v>
      </c>
      <c r="G34" s="16">
        <f>IF(OR($C34=eingabe!D$27,$C34=2*eingabe!D$27,$C34=3*eingabe!D$27,$C34=4*eingabe!D$27,$C34=5*eingabe!D$27,),mathe!G33-eingabe!D$28+eingabe!D$24,mathe!G33)</f>
        <v>89600</v>
      </c>
      <c r="H34" s="180">
        <f t="shared" si="12"/>
        <v>108000</v>
      </c>
      <c r="I34" s="181">
        <f t="shared" si="9"/>
        <v>188336.85761367931</v>
      </c>
      <c r="J34" s="18">
        <f>IF(OR($C34=eingabe!F$27,$C34=2*eingabe!F$27,$C34=3*eingabe!F$27,$C34=4*eingabe!F$27,$C34=5*eingabe!F$27,),mathe!J33-eingabe!F$28+eingabe!F$24,mathe!J33)</f>
        <v>61000</v>
      </c>
      <c r="K34" s="188">
        <f t="shared" si="13"/>
        <v>99900</v>
      </c>
      <c r="L34" s="189">
        <f t="shared" si="10"/>
        <v>174211.59329265336</v>
      </c>
      <c r="M34" s="20">
        <f>IF(OR($C34=eingabe!H$27,$C34=2*eingabe!H$27,$C34=3*eingabe!H$27,$C34=4*eingabe!H$27,$C34=5*eingabe!H$27,),mathe!M33-eingabe!H$28+eingabe!H$24,mathe!M33)</f>
        <v>117800</v>
      </c>
      <c r="N34" s="194">
        <f t="shared" si="2"/>
        <v>140400</v>
      </c>
      <c r="O34" s="131">
        <f t="shared" si="11"/>
        <v>244837.91489778311</v>
      </c>
      <c r="R34" s="12">
        <v>26</v>
      </c>
      <c r="S34" s="48">
        <f t="shared" si="3"/>
        <v>246748.66081538924</v>
      </c>
      <c r="T34" s="49">
        <f t="shared" si="4"/>
        <v>277936.85761367931</v>
      </c>
      <c r="U34" s="50">
        <f t="shared" si="5"/>
        <v>235211.59329265336</v>
      </c>
      <c r="V34" s="59">
        <f t="shared" si="6"/>
        <v>362637.91489778308</v>
      </c>
      <c r="W34" s="63">
        <f t="shared" si="7"/>
        <v>362637.91489778308</v>
      </c>
    </row>
    <row r="35" spans="1:23" x14ac:dyDescent="0.25">
      <c r="A35" s="1">
        <f t="shared" si="8"/>
        <v>2.8833685761367924</v>
      </c>
      <c r="C35" s="12">
        <v>27</v>
      </c>
      <c r="D35" s="14">
        <f>IF(OR(C35=eingabe!$D$7+eingabe!$D$11*5,C35=eingabe!$D$7+eingabe!$D$11*4,C35=eingabe!$D$7+eingabe!$D$11*3,C35=eingabe!$D$7+eingabe!$D$11*2,C35=eingabe!$D$7+eingabe!$D$11*1,C35=eingabe!$D$7),D34+eingabe!$D$9-eingabe!$D$8,D34)</f>
        <v>28500</v>
      </c>
      <c r="E35" s="173">
        <f>IF(C35&lt;eingabe!$D$7,E34+eingabe!$D$6,E34+eingabe!$D$10)</f>
        <v>132000</v>
      </c>
      <c r="F35" s="174">
        <f>IF(C35&lt;eingabe!$D$7,F34+(eingabe!$D$6*$A35),F34+(eingabe!$D$10*$A35))</f>
        <v>231223.81940800481</v>
      </c>
      <c r="G35" s="16">
        <f>IF(OR($C35=eingabe!D$27,$C35=2*eingabe!D$27,$C35=3*eingabe!D$27,$C35=4*eingabe!D$27,$C35=5*eingabe!D$27,),mathe!G34-eingabe!D$28+eingabe!D$24,mathe!G34)</f>
        <v>89600</v>
      </c>
      <c r="H35" s="180">
        <f t="shared" si="12"/>
        <v>112000</v>
      </c>
      <c r="I35" s="181">
        <f t="shared" si="9"/>
        <v>199870.3319182265</v>
      </c>
      <c r="J35" s="18">
        <f>IF(OR($C35=eingabe!F$27,$C35=2*eingabe!F$27,$C35=3*eingabe!F$27,$C35=4*eingabe!F$27,$C35=5*eingabe!F$27,),mathe!J34-eingabe!F$28+eingabe!F$24,mathe!J34)</f>
        <v>61000</v>
      </c>
      <c r="K35" s="188">
        <f t="shared" si="13"/>
        <v>103600</v>
      </c>
      <c r="L35" s="189">
        <f t="shared" si="10"/>
        <v>184880.0570243595</v>
      </c>
      <c r="M35" s="20">
        <f>IF(OR($C35=eingabe!H$27,$C35=2*eingabe!H$27,$C35=3*eingabe!H$27,$C35=4*eingabe!H$27,$C35=5*eingabe!H$27,),mathe!M34-eingabe!H$28+eingabe!H$24,mathe!M34)</f>
        <v>117800</v>
      </c>
      <c r="N35" s="194">
        <f t="shared" si="2"/>
        <v>145600</v>
      </c>
      <c r="O35" s="131">
        <f t="shared" si="11"/>
        <v>259831.43149369443</v>
      </c>
      <c r="R35" s="12">
        <v>27</v>
      </c>
      <c r="S35" s="48">
        <f t="shared" si="3"/>
        <v>259723.81940800481</v>
      </c>
      <c r="T35" s="49">
        <f t="shared" si="4"/>
        <v>289470.3319182265</v>
      </c>
      <c r="U35" s="50">
        <f t="shared" si="5"/>
        <v>245880.0570243595</v>
      </c>
      <c r="V35" s="59">
        <f t="shared" si="6"/>
        <v>377631.43149369443</v>
      </c>
      <c r="W35" s="63">
        <f t="shared" si="7"/>
        <v>377631.43149369443</v>
      </c>
    </row>
    <row r="36" spans="1:23" x14ac:dyDescent="0.25">
      <c r="A36" s="1">
        <f t="shared" si="8"/>
        <v>2.9987033191822641</v>
      </c>
      <c r="C36" s="12">
        <v>28</v>
      </c>
      <c r="D36" s="14">
        <f>IF(OR(C36=eingabe!$D$7+eingabe!$D$11*5,C36=eingabe!$D$7+eingabe!$D$11*4,C36=eingabe!$D$7+eingabe!$D$11*3,C36=eingabe!$D$7+eingabe!$D$11*2,C36=eingabe!$D$7+eingabe!$D$11*1,C36=eingabe!$D$7),D35+eingabe!$D$9-eingabe!$D$8,D35)</f>
        <v>28500</v>
      </c>
      <c r="E36" s="173">
        <f>IF(C36&lt;eingabe!$D$7,E35+eingabe!$D$6,E35+eingabe!$D$10)</f>
        <v>136500</v>
      </c>
      <c r="F36" s="174">
        <f>IF(C36&lt;eingabe!$D$7,F35+(eingabe!$D$6*$A36),F35+(eingabe!$D$10*$A36))</f>
        <v>244717.984344325</v>
      </c>
      <c r="G36" s="16">
        <f>IF(OR($C36=eingabe!D$27,$C36=2*eingabe!D$27,$C36=3*eingabe!D$27,$C36=4*eingabe!D$27,$C36=5*eingabe!D$27,),mathe!G35-eingabe!D$28+eingabe!D$24,mathe!G35)</f>
        <v>89600</v>
      </c>
      <c r="H36" s="180">
        <f t="shared" si="12"/>
        <v>116000</v>
      </c>
      <c r="I36" s="181">
        <f t="shared" si="9"/>
        <v>211865.14519495555</v>
      </c>
      <c r="J36" s="18">
        <f>IF(OR($C36=eingabe!F$27,$C36=2*eingabe!F$27,$C36=3*eingabe!F$27,$C36=4*eingabe!F$27,$C36=5*eingabe!F$27,),mathe!J35-eingabe!F$28+eingabe!F$24,mathe!J35)</f>
        <v>61000</v>
      </c>
      <c r="K36" s="188">
        <f t="shared" si="13"/>
        <v>107300</v>
      </c>
      <c r="L36" s="189">
        <f t="shared" si="10"/>
        <v>195975.25930533386</v>
      </c>
      <c r="M36" s="20">
        <f>IF(OR($C36=eingabe!H$27,$C36=2*eingabe!H$27,$C36=3*eingabe!H$27,$C36=4*eingabe!H$27,$C36=5*eingabe!H$27,),mathe!M35-eingabe!H$28+eingabe!H$24,mathe!M35)</f>
        <v>117800</v>
      </c>
      <c r="N36" s="194">
        <f t="shared" si="2"/>
        <v>150800</v>
      </c>
      <c r="O36" s="131">
        <f t="shared" si="11"/>
        <v>275424.6887534422</v>
      </c>
      <c r="R36" s="12">
        <v>28</v>
      </c>
      <c r="S36" s="48">
        <f t="shared" si="3"/>
        <v>273217.98434432503</v>
      </c>
      <c r="T36" s="49">
        <f t="shared" si="4"/>
        <v>301465.14519495552</v>
      </c>
      <c r="U36" s="50">
        <f t="shared" si="5"/>
        <v>256975.25930533386</v>
      </c>
      <c r="V36" s="59">
        <f t="shared" si="6"/>
        <v>393224.6887534422</v>
      </c>
      <c r="W36" s="63">
        <f t="shared" si="7"/>
        <v>393224.6887534422</v>
      </c>
    </row>
    <row r="37" spans="1:23" x14ac:dyDescent="0.25">
      <c r="A37" s="1">
        <f t="shared" si="8"/>
        <v>3.1186514519495545</v>
      </c>
      <c r="C37" s="12">
        <v>29</v>
      </c>
      <c r="D37" s="14">
        <f>IF(OR(C37=eingabe!$D$7+eingabe!$D$11*5,C37=eingabe!$D$7+eingabe!$D$11*4,C37=eingabe!$D$7+eingabe!$D$11*3,C37=eingabe!$D$7+eingabe!$D$11*2,C37=eingabe!$D$7+eingabe!$D$11*1,C37=eingabe!$D$7),D36+eingabe!$D$9-eingabe!$D$8,D36)</f>
        <v>28500</v>
      </c>
      <c r="E37" s="173">
        <f>IF(C37&lt;eingabe!$D$7,E36+eingabe!$D$6,E36+eingabe!$D$10)</f>
        <v>141000</v>
      </c>
      <c r="F37" s="174">
        <f>IF(C37&lt;eingabe!$D$7,F36+(eingabe!$D$6*$A37),F36+(eingabe!$D$10*$A37))</f>
        <v>258751.91587809799</v>
      </c>
      <c r="G37" s="16">
        <f>IF(OR($C37=eingabe!D$27,$C37=2*eingabe!D$27,$C37=3*eingabe!D$27,$C37=4*eingabe!D$27,$C37=5*eingabe!D$27,),mathe!G36-eingabe!D$28+eingabe!D$24,mathe!G36)</f>
        <v>89600</v>
      </c>
      <c r="H37" s="180">
        <f t="shared" si="12"/>
        <v>120000</v>
      </c>
      <c r="I37" s="181">
        <f t="shared" si="9"/>
        <v>224339.75100275376</v>
      </c>
      <c r="J37" s="18">
        <f>IF(OR($C37=eingabe!F$27,$C37=2*eingabe!F$27,$C37=3*eingabe!F$27,$C37=4*eingabe!F$27,$C37=5*eingabe!F$27,),mathe!J36-eingabe!F$28+eingabe!F$24,mathe!J36)</f>
        <v>61000</v>
      </c>
      <c r="K37" s="188">
        <f t="shared" si="13"/>
        <v>111000</v>
      </c>
      <c r="L37" s="189">
        <f t="shared" si="10"/>
        <v>207514.26967754721</v>
      </c>
      <c r="M37" s="20">
        <f>IF(OR($C37=eingabe!H$27,$C37=2*eingabe!H$27,$C37=3*eingabe!H$27,$C37=4*eingabe!H$27,$C37=5*eingabe!H$27,),mathe!M36-eingabe!H$28+eingabe!H$24,mathe!M36)</f>
        <v>117800</v>
      </c>
      <c r="N37" s="194">
        <f t="shared" si="2"/>
        <v>156000</v>
      </c>
      <c r="O37" s="131">
        <f t="shared" si="11"/>
        <v>291641.67630357988</v>
      </c>
      <c r="R37" s="12">
        <v>29</v>
      </c>
      <c r="S37" s="48">
        <f t="shared" si="3"/>
        <v>287251.91587809799</v>
      </c>
      <c r="T37" s="49">
        <f t="shared" si="4"/>
        <v>313939.75100275374</v>
      </c>
      <c r="U37" s="50">
        <f t="shared" si="5"/>
        <v>268514.26967754721</v>
      </c>
      <c r="V37" s="59">
        <f t="shared" si="6"/>
        <v>409441.67630357988</v>
      </c>
      <c r="W37" s="63">
        <f t="shared" si="7"/>
        <v>409441.67630357988</v>
      </c>
    </row>
    <row r="38" spans="1:23" x14ac:dyDescent="0.25">
      <c r="A38" s="1">
        <f t="shared" si="8"/>
        <v>3.2433975100275365</v>
      </c>
      <c r="C38" s="12">
        <v>30</v>
      </c>
      <c r="D38" s="14">
        <f>IF(OR(C38=eingabe!$D$7+eingabe!$D$11*5,C38=eingabe!$D$7+eingabe!$D$11*4,C38=eingabe!$D$7+eingabe!$D$11*3,C38=eingabe!$D$7+eingabe!$D$11*2,C38=eingabe!$D$7+eingabe!$D$11*1,C38=eingabe!$D$7),D37+eingabe!$D$9-eingabe!$D$8,D37)</f>
        <v>28500</v>
      </c>
      <c r="E38" s="173">
        <f>IF(C38&lt;eingabe!$D$7,E37+eingabe!$D$6,E37+eingabe!$D$10)</f>
        <v>145500</v>
      </c>
      <c r="F38" s="174">
        <f>IF(C38&lt;eingabe!$D$7,F37+(eingabe!$D$6*$A38),F37+(eingabe!$D$10*$A38))</f>
        <v>273347.20467322192</v>
      </c>
      <c r="G38" s="16">
        <f>IF(OR($C38=eingabe!D$27,$C38=2*eingabe!D$27,$C38=3*eingabe!D$27,$C38=4*eingabe!D$27,$C38=5*eingabe!D$27,),mathe!G37-eingabe!D$28+eingabe!D$24,mathe!G37)</f>
        <v>118400</v>
      </c>
      <c r="H38" s="180">
        <f t="shared" si="12"/>
        <v>124000</v>
      </c>
      <c r="I38" s="181">
        <f t="shared" si="9"/>
        <v>237313.3410428639</v>
      </c>
      <c r="J38" s="18">
        <f>IF(OR($C38=eingabe!F$27,$C38=2*eingabe!F$27,$C38=3*eingabe!F$27,$C38=4*eingabe!F$27,$C38=5*eingabe!F$27,),mathe!J37-eingabe!F$28+eingabe!F$24,mathe!J37)</f>
        <v>80500</v>
      </c>
      <c r="K38" s="188">
        <f t="shared" si="13"/>
        <v>114700</v>
      </c>
      <c r="L38" s="189">
        <f t="shared" si="10"/>
        <v>219514.84046464911</v>
      </c>
      <c r="M38" s="20">
        <f>IF(OR($C38=eingabe!H$27,$C38=2*eingabe!H$27,$C38=3*eingabe!H$27,$C38=4*eingabe!H$27,$C38=5*eingabe!H$27,),mathe!M37-eingabe!H$28+eingabe!H$24,mathe!M37)</f>
        <v>155700</v>
      </c>
      <c r="N38" s="194">
        <f t="shared" si="2"/>
        <v>161200</v>
      </c>
      <c r="O38" s="131">
        <f t="shared" si="11"/>
        <v>308507.34335572307</v>
      </c>
      <c r="R38" s="12">
        <v>30</v>
      </c>
      <c r="S38" s="48">
        <f t="shared" si="3"/>
        <v>301847.20467322192</v>
      </c>
      <c r="T38" s="49">
        <f t="shared" si="4"/>
        <v>355713.3410428639</v>
      </c>
      <c r="U38" s="50">
        <f t="shared" si="5"/>
        <v>300014.84046464914</v>
      </c>
      <c r="V38" s="59">
        <f t="shared" si="6"/>
        <v>464207.34335572307</v>
      </c>
      <c r="W38" s="63">
        <f t="shared" si="7"/>
        <v>464207.34335572307</v>
      </c>
    </row>
    <row r="39" spans="1:23" x14ac:dyDescent="0.25">
      <c r="A39" s="1">
        <f t="shared" si="8"/>
        <v>3.3731334104286379</v>
      </c>
      <c r="C39" s="12">
        <v>31</v>
      </c>
      <c r="D39" s="14">
        <f>IF(OR(C39=eingabe!$D$7+eingabe!$D$11*5,C39=eingabe!$D$7+eingabe!$D$11*4,C39=eingabe!$D$7+eingabe!$D$11*3,C39=eingabe!$D$7+eingabe!$D$11*2,C39=eingabe!$D$7+eingabe!$D$11*1,C39=eingabe!$D$7),D38+eingabe!$D$9-eingabe!$D$8,D38)</f>
        <v>28500</v>
      </c>
      <c r="E39" s="173">
        <f>IF(C39&lt;eingabe!$D$7,E38+eingabe!$D$6,E38+eingabe!$D$10)</f>
        <v>150000</v>
      </c>
      <c r="F39" s="174">
        <f>IF(C39&lt;eingabe!$D$7,F38+(eingabe!$D$6*$A39),F38+(eingabe!$D$10*$A39))</f>
        <v>288526.30502015079</v>
      </c>
      <c r="G39" s="16">
        <f>IF(OR($C39=eingabe!D$27,$C39=2*eingabe!D$27,$C39=3*eingabe!D$27,$C39=4*eingabe!D$27,$C39=5*eingabe!D$27,),mathe!G38-eingabe!D$28+eingabe!D$24,mathe!G38)</f>
        <v>118400</v>
      </c>
      <c r="H39" s="180">
        <f t="shared" si="12"/>
        <v>128000</v>
      </c>
      <c r="I39" s="181">
        <f t="shared" si="9"/>
        <v>250805.87468457845</v>
      </c>
      <c r="J39" s="18">
        <f>IF(OR($C39=eingabe!F$27,$C39=2*eingabe!F$27,$C39=3*eingabe!F$27,$C39=4*eingabe!F$27,$C39=5*eingabe!F$27,),mathe!J38-eingabe!F$28+eingabe!F$24,mathe!J38)</f>
        <v>80500</v>
      </c>
      <c r="K39" s="188">
        <f t="shared" si="13"/>
        <v>118400</v>
      </c>
      <c r="L39" s="189">
        <f t="shared" si="10"/>
        <v>231995.43408323507</v>
      </c>
      <c r="M39" s="20">
        <f>IF(OR($C39=eingabe!H$27,$C39=2*eingabe!H$27,$C39=3*eingabe!H$27,$C39=4*eingabe!H$27,$C39=5*eingabe!H$27,),mathe!M38-eingabe!H$28+eingabe!H$24,mathe!M38)</f>
        <v>155700</v>
      </c>
      <c r="N39" s="194">
        <f t="shared" si="2"/>
        <v>166400</v>
      </c>
      <c r="O39" s="131">
        <f t="shared" si="11"/>
        <v>326047.63708995201</v>
      </c>
      <c r="R39" s="12">
        <v>31</v>
      </c>
      <c r="S39" s="48">
        <f t="shared" si="3"/>
        <v>317026.30502015079</v>
      </c>
      <c r="T39" s="49">
        <f t="shared" si="4"/>
        <v>369205.87468457845</v>
      </c>
      <c r="U39" s="50">
        <f t="shared" si="5"/>
        <v>312495.4340832351</v>
      </c>
      <c r="V39" s="59">
        <f t="shared" si="6"/>
        <v>481747.63708995201</v>
      </c>
      <c r="W39" s="63">
        <f t="shared" si="7"/>
        <v>481747.63708995201</v>
      </c>
    </row>
    <row r="40" spans="1:23" x14ac:dyDescent="0.25">
      <c r="A40" s="1">
        <f t="shared" si="8"/>
        <v>3.5080587468457836</v>
      </c>
      <c r="C40" s="12">
        <v>32</v>
      </c>
      <c r="D40" s="14">
        <f>IF(OR(C40=eingabe!$D$7+eingabe!$D$11*5,C40=eingabe!$D$7+eingabe!$D$11*4,C40=eingabe!$D$7+eingabe!$D$11*3,C40=eingabe!$D$7+eingabe!$D$11*2,C40=eingabe!$D$7+eingabe!$D$11*1,C40=eingabe!$D$7),D39+eingabe!$D$9-eingabe!$D$8,D39)</f>
        <v>28500</v>
      </c>
      <c r="E40" s="173">
        <f>IF(C40&lt;eingabe!$D$7,E39+eingabe!$D$6,E39+eingabe!$D$10)</f>
        <v>154500</v>
      </c>
      <c r="F40" s="174">
        <f>IF(C40&lt;eingabe!$D$7,F39+(eingabe!$D$6*$A40),F39+(eingabe!$D$10*$A40))</f>
        <v>304312.56938095682</v>
      </c>
      <c r="G40" s="16">
        <f>IF(OR($C40=eingabe!D$27,$C40=2*eingabe!D$27,$C40=3*eingabe!D$27,$C40=4*eingabe!D$27,$C40=5*eingabe!D$27,),mathe!G39-eingabe!D$28+eingabe!D$24,mathe!G39)</f>
        <v>118400</v>
      </c>
      <c r="H40" s="180">
        <f t="shared" si="12"/>
        <v>132000</v>
      </c>
      <c r="I40" s="181">
        <f t="shared" si="9"/>
        <v>264838.10967196157</v>
      </c>
      <c r="J40" s="18">
        <f>IF(OR($C40=eingabe!F$27,$C40=2*eingabe!F$27,$C40=3*eingabe!F$27,$C40=4*eingabe!F$27,$C40=5*eingabe!F$27,),mathe!J39-eingabe!F$28+eingabe!F$24,mathe!J39)</f>
        <v>80500</v>
      </c>
      <c r="K40" s="188">
        <f t="shared" si="13"/>
        <v>122100</v>
      </c>
      <c r="L40" s="189">
        <f t="shared" si="10"/>
        <v>244975.25144656448</v>
      </c>
      <c r="M40" s="20">
        <f>IF(OR($C40=eingabe!H$27,$C40=2*eingabe!H$27,$C40=3*eingabe!H$27,$C40=4*eingabe!H$27,$C40=5*eingabe!H$27,),mathe!M39-eingabe!H$28+eingabe!H$24,mathe!M39)</f>
        <v>155700</v>
      </c>
      <c r="N40" s="194">
        <f t="shared" si="2"/>
        <v>171600</v>
      </c>
      <c r="O40" s="131">
        <f t="shared" si="11"/>
        <v>344289.54257355008</v>
      </c>
      <c r="R40" s="12">
        <v>32</v>
      </c>
      <c r="S40" s="48">
        <f t="shared" si="3"/>
        <v>332812.56938095682</v>
      </c>
      <c r="T40" s="49">
        <f t="shared" si="4"/>
        <v>383238.10967196157</v>
      </c>
      <c r="U40" s="50">
        <f t="shared" si="5"/>
        <v>325475.25144656445</v>
      </c>
      <c r="V40" s="59">
        <f t="shared" si="6"/>
        <v>499989.54257355008</v>
      </c>
      <c r="W40" s="63">
        <f t="shared" si="7"/>
        <v>499989.54257355008</v>
      </c>
    </row>
    <row r="41" spans="1:23" x14ac:dyDescent="0.25">
      <c r="A41" s="1">
        <f t="shared" si="8"/>
        <v>3.6483810967196151</v>
      </c>
      <c r="C41" s="12">
        <v>33</v>
      </c>
      <c r="D41" s="14">
        <f>IF(OR(C41=eingabe!$D$7+eingabe!$D$11*5,C41=eingabe!$D$7+eingabe!$D$11*4,C41=eingabe!$D$7+eingabe!$D$11*3,C41=eingabe!$D$7+eingabe!$D$11*2,C41=eingabe!$D$7+eingabe!$D$11*1,C41=eingabe!$D$7),D40+eingabe!$D$9-eingabe!$D$8,D40)</f>
        <v>28500</v>
      </c>
      <c r="E41" s="173">
        <f>IF(C41&lt;eingabe!$D$7,E40+eingabe!$D$6,E40+eingabe!$D$10)</f>
        <v>159000</v>
      </c>
      <c r="F41" s="174">
        <f>IF(C41&lt;eingabe!$D$7,F40+(eingabe!$D$6*$A41),F40+(eingabe!$D$10*$A41))</f>
        <v>320730.28431619506</v>
      </c>
      <c r="G41" s="16">
        <f>IF(OR($C41=eingabe!D$27,$C41=2*eingabe!D$27,$C41=3*eingabe!D$27,$C41=4*eingabe!D$27,$C41=5*eingabe!D$27,),mathe!G40-eingabe!D$28+eingabe!D$24,mathe!G40)</f>
        <v>118400</v>
      </c>
      <c r="H41" s="180">
        <f t="shared" si="12"/>
        <v>136000</v>
      </c>
      <c r="I41" s="181">
        <f t="shared" si="9"/>
        <v>279431.63405884005</v>
      </c>
      <c r="J41" s="18">
        <f>IF(OR($C41=eingabe!F$27,$C41=2*eingabe!F$27,$C41=3*eingabe!F$27,$C41=4*eingabe!F$27,$C41=5*eingabe!F$27,),mathe!J40-eingabe!F$28+eingabe!F$24,mathe!J40)</f>
        <v>80500</v>
      </c>
      <c r="K41" s="188">
        <f t="shared" si="13"/>
        <v>125800</v>
      </c>
      <c r="L41" s="189">
        <f t="shared" si="10"/>
        <v>258474.26150442706</v>
      </c>
      <c r="M41" s="20">
        <f>IF(OR($C41=eingabe!H$27,$C41=2*eingabe!H$27,$C41=3*eingabe!H$27,$C41=4*eingabe!H$27,$C41=5*eingabe!H$27,),mathe!M40-eingabe!H$28+eingabe!H$24,mathe!M40)</f>
        <v>155700</v>
      </c>
      <c r="N41" s="194">
        <f t="shared" ref="N41:N58" si="14">N40+$N$8</f>
        <v>176800</v>
      </c>
      <c r="O41" s="131">
        <f t="shared" si="11"/>
        <v>363261.12427649205</v>
      </c>
      <c r="R41" s="12">
        <v>33</v>
      </c>
      <c r="S41" s="48">
        <f t="shared" si="3"/>
        <v>349230.28431619506</v>
      </c>
      <c r="T41" s="49">
        <f t="shared" si="4"/>
        <v>397831.63405884005</v>
      </c>
      <c r="U41" s="50">
        <f t="shared" si="5"/>
        <v>338974.26150442706</v>
      </c>
      <c r="V41" s="59">
        <f t="shared" si="6"/>
        <v>518961.12427649205</v>
      </c>
      <c r="W41" s="63">
        <f t="shared" si="7"/>
        <v>518961.12427649205</v>
      </c>
    </row>
    <row r="42" spans="1:23" x14ac:dyDescent="0.25">
      <c r="A42" s="1">
        <f t="shared" si="8"/>
        <v>3.7943163405883995</v>
      </c>
      <c r="C42" s="12">
        <v>34</v>
      </c>
      <c r="D42" s="14">
        <f>IF(OR(C42=eingabe!$D$7+eingabe!$D$11*5,C42=eingabe!$D$7+eingabe!$D$11*4,C42=eingabe!$D$7+eingabe!$D$11*3,C42=eingabe!$D$7+eingabe!$D$11*2,C42=eingabe!$D$7+eingabe!$D$11*1,C42=eingabe!$D$7),D41+eingabe!$D$9-eingabe!$D$8,D41)</f>
        <v>38000</v>
      </c>
      <c r="E42" s="173">
        <f>IF(C42&lt;eingabe!$D$7,E41+eingabe!$D$6,E41+eingabe!$D$10)</f>
        <v>163500</v>
      </c>
      <c r="F42" s="174">
        <f>IF(C42&lt;eingabe!$D$7,F41+(eingabe!$D$6*$A42),F41+(eingabe!$D$10*$A42))</f>
        <v>337804.70784884284</v>
      </c>
      <c r="G42" s="16">
        <f>IF(OR($C42=eingabe!D$27,$C42=2*eingabe!D$27,$C42=3*eingabe!D$27,$C42=4*eingabe!D$27,$C42=5*eingabe!D$27,),mathe!G41-eingabe!D$28+eingabe!D$24,mathe!G41)</f>
        <v>118400</v>
      </c>
      <c r="H42" s="180">
        <f t="shared" si="12"/>
        <v>140000</v>
      </c>
      <c r="I42" s="181">
        <f t="shared" si="9"/>
        <v>294608.89942119364</v>
      </c>
      <c r="J42" s="18">
        <f>IF(OR($C42=eingabe!F$27,$C42=2*eingabe!F$27,$C42=3*eingabe!F$27,$C42=4*eingabe!F$27,$C42=5*eingabe!F$27,),mathe!J41-eingabe!F$28+eingabe!F$24,mathe!J41)</f>
        <v>80500</v>
      </c>
      <c r="K42" s="188">
        <f t="shared" si="13"/>
        <v>129500</v>
      </c>
      <c r="L42" s="189">
        <f t="shared" si="10"/>
        <v>272513.23196460411</v>
      </c>
      <c r="M42" s="20">
        <f>IF(OR($C42=eingabe!H$27,$C42=2*eingabe!H$27,$C42=3*eingabe!H$27,$C42=4*eingabe!H$27,$C42=5*eingabe!H$27,),mathe!M41-eingabe!H$28+eingabe!H$24,mathe!M41)</f>
        <v>155700</v>
      </c>
      <c r="N42" s="194">
        <f t="shared" si="14"/>
        <v>182000</v>
      </c>
      <c r="O42" s="131">
        <f t="shared" si="11"/>
        <v>382991.56924755173</v>
      </c>
      <c r="R42" s="12">
        <v>34</v>
      </c>
      <c r="S42" s="48">
        <f t="shared" si="3"/>
        <v>375804.70784884284</v>
      </c>
      <c r="T42" s="49">
        <f t="shared" si="4"/>
        <v>413008.89942119364</v>
      </c>
      <c r="U42" s="50">
        <f t="shared" si="5"/>
        <v>353013.23196460411</v>
      </c>
      <c r="V42" s="59">
        <f t="shared" si="6"/>
        <v>538691.56924755173</v>
      </c>
      <c r="W42" s="63">
        <f t="shared" si="7"/>
        <v>538691.56924755173</v>
      </c>
    </row>
    <row r="43" spans="1:23" x14ac:dyDescent="0.25">
      <c r="A43" s="1">
        <f t="shared" si="8"/>
        <v>3.9460889942119355</v>
      </c>
      <c r="C43" s="12">
        <v>35</v>
      </c>
      <c r="D43" s="14">
        <f>IF(OR(C43=eingabe!$D$7+eingabe!$D$11*5,C43=eingabe!$D$7+eingabe!$D$11*4,C43=eingabe!$D$7+eingabe!$D$11*3,C43=eingabe!$D$7+eingabe!$D$11*2,C43=eingabe!$D$7+eingabe!$D$11*1,C43=eingabe!$D$7),D42+eingabe!$D$9-eingabe!$D$8,D42)</f>
        <v>38000</v>
      </c>
      <c r="E43" s="173">
        <f>IF(C43&lt;eingabe!$D$7,E42+eingabe!$D$6,E42+eingabe!$D$10)</f>
        <v>168000</v>
      </c>
      <c r="F43" s="174">
        <f>IF(C43&lt;eingabe!$D$7,F42+(eingabe!$D$6*$A43),F42+(eingabe!$D$10*$A43))</f>
        <v>355562.10832279653</v>
      </c>
      <c r="G43" s="16">
        <f>IF(OR($C43=eingabe!D$27,$C43=2*eingabe!D$27,$C43=3*eingabe!D$27,$C43=4*eingabe!D$27,$C43=5*eingabe!D$27,),mathe!G42-eingabe!D$28+eingabe!D$24,mathe!G42)</f>
        <v>118400</v>
      </c>
      <c r="H43" s="180">
        <f t="shared" si="12"/>
        <v>144000</v>
      </c>
      <c r="I43" s="181">
        <f t="shared" si="9"/>
        <v>310393.25539804139</v>
      </c>
      <c r="J43" s="18">
        <f>IF(OR($C43=eingabe!F$27,$C43=2*eingabe!F$27,$C43=3*eingabe!F$27,$C43=4*eingabe!F$27,$C43=5*eingabe!F$27,),mathe!J42-eingabe!F$28+eingabe!F$24,mathe!J42)</f>
        <v>80500</v>
      </c>
      <c r="K43" s="188">
        <f t="shared" si="13"/>
        <v>133200</v>
      </c>
      <c r="L43" s="189">
        <f t="shared" si="10"/>
        <v>287113.76124318829</v>
      </c>
      <c r="M43" s="20">
        <f>IF(OR($C43=eingabe!H$27,$C43=2*eingabe!H$27,$C43=3*eingabe!H$27,$C43=4*eingabe!H$27,$C43=5*eingabe!H$27,),mathe!M42-eingabe!H$28+eingabe!H$24,mathe!M42)</f>
        <v>155700</v>
      </c>
      <c r="N43" s="194">
        <f t="shared" si="14"/>
        <v>187200</v>
      </c>
      <c r="O43" s="131">
        <f t="shared" si="11"/>
        <v>403511.23201745382</v>
      </c>
      <c r="R43" s="12">
        <v>35</v>
      </c>
      <c r="S43" s="48">
        <f t="shared" si="3"/>
        <v>393562.10832279653</v>
      </c>
      <c r="T43" s="49">
        <f t="shared" si="4"/>
        <v>428793.25539804139</v>
      </c>
      <c r="U43" s="50">
        <f t="shared" si="5"/>
        <v>367613.76124318829</v>
      </c>
      <c r="V43" s="59">
        <f t="shared" si="6"/>
        <v>559211.23201745376</v>
      </c>
      <c r="W43" s="63">
        <f t="shared" si="7"/>
        <v>559211.23201745376</v>
      </c>
    </row>
    <row r="44" spans="1:23" x14ac:dyDescent="0.25">
      <c r="A44" s="1">
        <f t="shared" si="8"/>
        <v>4.103932553980413</v>
      </c>
      <c r="C44" s="12">
        <v>36</v>
      </c>
      <c r="D44" s="14">
        <f>IF(OR(C44=eingabe!$D$7+eingabe!$D$11*5,C44=eingabe!$D$7+eingabe!$D$11*4,C44=eingabe!$D$7+eingabe!$D$11*3,C44=eingabe!$D$7+eingabe!$D$11*2,C44=eingabe!$D$7+eingabe!$D$11*1,C44=eingabe!$D$7),D43+eingabe!$D$9-eingabe!$D$8,D43)</f>
        <v>38000</v>
      </c>
      <c r="E44" s="173">
        <f>IF(C44&lt;eingabe!$D$7,E43+eingabe!$D$6,E43+eingabe!$D$10)</f>
        <v>172500</v>
      </c>
      <c r="F44" s="174">
        <f>IF(C44&lt;eingabe!$D$7,F43+(eingabe!$D$6*$A44),F43+(eingabe!$D$10*$A44))</f>
        <v>374029.80481570837</v>
      </c>
      <c r="G44" s="16">
        <f>IF(OR($C44=eingabe!D$27,$C44=2*eingabe!D$27,$C44=3*eingabe!D$27,$C44=4*eingabe!D$27,$C44=5*eingabe!D$27,),mathe!G43-eingabe!D$28+eingabe!D$24,mathe!G43)</f>
        <v>118400</v>
      </c>
      <c r="H44" s="180">
        <f t="shared" si="12"/>
        <v>148000</v>
      </c>
      <c r="I44" s="181">
        <f t="shared" si="9"/>
        <v>326808.98561396304</v>
      </c>
      <c r="J44" s="18">
        <f>IF(OR($C44=eingabe!F$27,$C44=2*eingabe!F$27,$C44=3*eingabe!F$27,$C44=4*eingabe!F$27,$C44=5*eingabe!F$27,),mathe!J43-eingabe!F$28+eingabe!F$24,mathe!J43)</f>
        <v>80500</v>
      </c>
      <c r="K44" s="188">
        <f t="shared" si="13"/>
        <v>136900</v>
      </c>
      <c r="L44" s="189">
        <f t="shared" si="10"/>
        <v>302298.3116929158</v>
      </c>
      <c r="M44" s="20">
        <f>IF(OR($C44=eingabe!H$27,$C44=2*eingabe!H$27,$C44=3*eingabe!H$27,$C44=4*eingabe!H$27,$C44=5*eingabe!H$27,),mathe!M43-eingabe!H$28+eingabe!H$24,mathe!M43)</f>
        <v>155700</v>
      </c>
      <c r="N44" s="194">
        <f t="shared" si="14"/>
        <v>192400</v>
      </c>
      <c r="O44" s="131">
        <f t="shared" si="11"/>
        <v>424851.68129815196</v>
      </c>
      <c r="R44" s="12">
        <v>36</v>
      </c>
      <c r="S44" s="48">
        <f t="shared" si="3"/>
        <v>412029.80481570837</v>
      </c>
      <c r="T44" s="49">
        <f t="shared" si="4"/>
        <v>445208.98561396304</v>
      </c>
      <c r="U44" s="50">
        <f t="shared" si="5"/>
        <v>382798.3116929158</v>
      </c>
      <c r="V44" s="59">
        <f t="shared" si="6"/>
        <v>580551.68129815196</v>
      </c>
      <c r="W44" s="63">
        <f t="shared" si="7"/>
        <v>580551.68129815196</v>
      </c>
    </row>
    <row r="45" spans="1:23" x14ac:dyDescent="0.25">
      <c r="A45" s="1">
        <f t="shared" si="8"/>
        <v>4.2680898561396292</v>
      </c>
      <c r="C45" s="12">
        <v>37</v>
      </c>
      <c r="D45" s="14">
        <f>IF(OR(C45=eingabe!$D$7+eingabe!$D$11*5,C45=eingabe!$D$7+eingabe!$D$11*4,C45=eingabe!$D$7+eingabe!$D$11*3,C45=eingabe!$D$7+eingabe!$D$11*2,C45=eingabe!$D$7+eingabe!$D$11*1,C45=eingabe!$D$7),D44+eingabe!$D$9-eingabe!$D$8,D44)</f>
        <v>38000</v>
      </c>
      <c r="E45" s="173">
        <f>IF(C45&lt;eingabe!$D$7,E44+eingabe!$D$6,E44+eingabe!$D$10)</f>
        <v>177000</v>
      </c>
      <c r="F45" s="174">
        <f>IF(C45&lt;eingabe!$D$7,F44+(eingabe!$D$6*$A45),F44+(eingabe!$D$10*$A45))</f>
        <v>393236.2091683367</v>
      </c>
      <c r="G45" s="16">
        <f>IF(OR($C45=eingabe!D$27,$C45=2*eingabe!D$27,$C45=3*eingabe!D$27,$C45=4*eingabe!D$27,$C45=5*eingabe!D$27,),mathe!G44-eingabe!D$28+eingabe!D$24,mathe!G44)</f>
        <v>118400</v>
      </c>
      <c r="H45" s="180">
        <f t="shared" si="12"/>
        <v>152000</v>
      </c>
      <c r="I45" s="181">
        <f t="shared" si="9"/>
        <v>343881.34503852157</v>
      </c>
      <c r="J45" s="18">
        <f>IF(OR($C45=eingabe!F$27,$C45=2*eingabe!F$27,$C45=3*eingabe!F$27,$C45=4*eingabe!F$27,$C45=5*eingabe!F$27,),mathe!J44-eingabe!F$28+eingabe!F$24,mathe!J44)</f>
        <v>80500</v>
      </c>
      <c r="K45" s="188">
        <f t="shared" si="13"/>
        <v>140600</v>
      </c>
      <c r="L45" s="189">
        <f t="shared" si="10"/>
        <v>318090.24416063243</v>
      </c>
      <c r="M45" s="20">
        <f>IF(OR($C45=eingabe!H$27,$C45=2*eingabe!H$27,$C45=3*eingabe!H$27,$C45=4*eingabe!H$27,$C45=5*eingabe!H$27,),mathe!M44-eingabe!H$28+eingabe!H$24,mathe!M44)</f>
        <v>155700</v>
      </c>
      <c r="N45" s="194">
        <f t="shared" si="14"/>
        <v>197600</v>
      </c>
      <c r="O45" s="131">
        <f t="shared" si="11"/>
        <v>447045.74855007802</v>
      </c>
      <c r="R45" s="12">
        <v>37</v>
      </c>
      <c r="S45" s="48">
        <f t="shared" si="3"/>
        <v>431236.2091683367</v>
      </c>
      <c r="T45" s="49">
        <f t="shared" si="4"/>
        <v>462281.34503852157</v>
      </c>
      <c r="U45" s="50">
        <f t="shared" si="5"/>
        <v>398590.24416063243</v>
      </c>
      <c r="V45" s="59">
        <f t="shared" si="6"/>
        <v>602745.74855007802</v>
      </c>
      <c r="W45" s="63">
        <f t="shared" si="7"/>
        <v>602745.74855007802</v>
      </c>
    </row>
    <row r="46" spans="1:23" x14ac:dyDescent="0.25">
      <c r="A46" s="1">
        <f t="shared" si="8"/>
        <v>4.4388134503852141</v>
      </c>
      <c r="C46" s="12">
        <v>38</v>
      </c>
      <c r="D46" s="14">
        <f>IF(OR(C46=eingabe!$D$7+eingabe!$D$11*5,C46=eingabe!$D$7+eingabe!$D$11*4,C46=eingabe!$D$7+eingabe!$D$11*3,C46=eingabe!$D$7+eingabe!$D$11*2,C46=eingabe!$D$7+eingabe!$D$11*1,C46=eingabe!$D$7),D45+eingabe!$D$9-eingabe!$D$8,D45)</f>
        <v>38000</v>
      </c>
      <c r="E46" s="173">
        <f>IF(C46&lt;eingabe!$D$7,E45+eingabe!$D$6,E45+eingabe!$D$10)</f>
        <v>181500</v>
      </c>
      <c r="F46" s="174">
        <f>IF(C46&lt;eingabe!$D$7,F45+(eingabe!$D$6*$A46),F45+(eingabe!$D$10*$A46))</f>
        <v>413210.86969507014</v>
      </c>
      <c r="G46" s="16">
        <f>IF(OR($C46=eingabe!D$27,$C46=2*eingabe!D$27,$C46=3*eingabe!D$27,$C46=4*eingabe!D$27,$C46=5*eingabe!D$27,),mathe!G45-eingabe!D$28+eingabe!D$24,mathe!G45)</f>
        <v>118400</v>
      </c>
      <c r="H46" s="180">
        <f t="shared" si="12"/>
        <v>156000</v>
      </c>
      <c r="I46" s="181">
        <f t="shared" si="9"/>
        <v>361636.59884006245</v>
      </c>
      <c r="J46" s="18">
        <f>IF(OR($C46=eingabe!F$27,$C46=2*eingabe!F$27,$C46=3*eingabe!F$27,$C46=4*eingabe!F$27,$C46=5*eingabe!F$27,),mathe!J45-eingabe!F$28+eingabe!F$24,mathe!J45)</f>
        <v>80500</v>
      </c>
      <c r="K46" s="188">
        <f t="shared" si="13"/>
        <v>144300</v>
      </c>
      <c r="L46" s="189">
        <f t="shared" si="10"/>
        <v>334513.8539270577</v>
      </c>
      <c r="M46" s="20">
        <f>IF(OR($C46=eingabe!H$27,$C46=2*eingabe!H$27,$C46=3*eingabe!H$27,$C46=4*eingabe!H$27,$C46=5*eingabe!H$27,),mathe!M45-eingabe!H$28+eingabe!H$24,mathe!M45)</f>
        <v>155700</v>
      </c>
      <c r="N46" s="194">
        <f t="shared" si="14"/>
        <v>202800</v>
      </c>
      <c r="O46" s="131">
        <f t="shared" si="11"/>
        <v>470127.57849208114</v>
      </c>
      <c r="R46" s="12">
        <v>38</v>
      </c>
      <c r="S46" s="48">
        <f t="shared" si="3"/>
        <v>451210.86969507014</v>
      </c>
      <c r="T46" s="49">
        <f t="shared" si="4"/>
        <v>480036.59884006245</v>
      </c>
      <c r="U46" s="50">
        <f t="shared" si="5"/>
        <v>415013.8539270577</v>
      </c>
      <c r="V46" s="59">
        <f t="shared" si="6"/>
        <v>625827.57849208114</v>
      </c>
      <c r="W46" s="63">
        <f t="shared" si="7"/>
        <v>625827.57849208114</v>
      </c>
    </row>
    <row r="47" spans="1:23" x14ac:dyDescent="0.25">
      <c r="A47" s="1">
        <f t="shared" si="8"/>
        <v>4.6163659884006227</v>
      </c>
      <c r="C47" s="12">
        <v>39</v>
      </c>
      <c r="D47" s="14">
        <f>IF(OR(C47=eingabe!$D$7+eingabe!$D$11*5,C47=eingabe!$D$7+eingabe!$D$11*4,C47=eingabe!$D$7+eingabe!$D$11*3,C47=eingabe!$D$7+eingabe!$D$11*2,C47=eingabe!$D$7+eingabe!$D$11*1,C47=eingabe!$D$7),D46+eingabe!$D$9-eingabe!$D$8,D46)</f>
        <v>38000</v>
      </c>
      <c r="E47" s="173">
        <f>IF(C47&lt;eingabe!$D$7,E46+eingabe!$D$6,E46+eingabe!$D$10)</f>
        <v>186000</v>
      </c>
      <c r="F47" s="174">
        <f>IF(C47&lt;eingabe!$D$7,F46+(eingabe!$D$6*$A47),F46+(eingabe!$D$10*$A47))</f>
        <v>433984.51664287294</v>
      </c>
      <c r="G47" s="16">
        <f>IF(OR($C47=eingabe!D$27,$C47=2*eingabe!D$27,$C47=3*eingabe!D$27,$C47=4*eingabe!D$27,$C47=5*eingabe!D$27,),mathe!G46-eingabe!D$28+eingabe!D$24,mathe!G46)</f>
        <v>118400</v>
      </c>
      <c r="H47" s="180">
        <f t="shared" si="12"/>
        <v>160000</v>
      </c>
      <c r="I47" s="181">
        <f t="shared" si="9"/>
        <v>380102.06279366493</v>
      </c>
      <c r="J47" s="18">
        <f>IF(OR($C47=eingabe!F$27,$C47=2*eingabe!F$27,$C47=3*eingabe!F$27,$C47=4*eingabe!F$27,$C47=5*eingabe!F$27,),mathe!J46-eingabe!F$28+eingabe!F$24,mathe!J46)</f>
        <v>80500</v>
      </c>
      <c r="K47" s="188">
        <f t="shared" si="13"/>
        <v>148000</v>
      </c>
      <c r="L47" s="189">
        <f t="shared" si="10"/>
        <v>351594.40808413998</v>
      </c>
      <c r="M47" s="20">
        <f>IF(OR($C47=eingabe!H$27,$C47=2*eingabe!H$27,$C47=3*eingabe!H$27,$C47=4*eingabe!H$27,$C47=5*eingabe!H$27,),mathe!M46-eingabe!H$28+eingabe!H$24,mathe!M46)</f>
        <v>155700</v>
      </c>
      <c r="N47" s="194">
        <f t="shared" si="14"/>
        <v>208000</v>
      </c>
      <c r="O47" s="131">
        <f t="shared" si="11"/>
        <v>494132.6816317644</v>
      </c>
      <c r="R47" s="12">
        <v>39</v>
      </c>
      <c r="S47" s="48">
        <f t="shared" si="3"/>
        <v>471984.51664287294</v>
      </c>
      <c r="T47" s="49">
        <f t="shared" si="4"/>
        <v>498502.06279366493</v>
      </c>
      <c r="U47" s="50">
        <f t="shared" si="5"/>
        <v>432094.40808413998</v>
      </c>
      <c r="V47" s="59">
        <f t="shared" si="6"/>
        <v>649832.6816317644</v>
      </c>
      <c r="W47" s="63">
        <f t="shared" si="7"/>
        <v>649832.6816317644</v>
      </c>
    </row>
    <row r="48" spans="1:23" x14ac:dyDescent="0.25">
      <c r="A48" s="1">
        <f t="shared" si="8"/>
        <v>4.8010206279366479</v>
      </c>
      <c r="C48" s="12">
        <v>40</v>
      </c>
      <c r="D48" s="14">
        <f>IF(OR(C48=eingabe!$D$7+eingabe!$D$11*5,C48=eingabe!$D$7+eingabe!$D$11*4,C48=eingabe!$D$7+eingabe!$D$11*3,C48=eingabe!$D$7+eingabe!$D$11*2,C48=eingabe!$D$7+eingabe!$D$11*1,C48=eingabe!$D$7),D47+eingabe!$D$9-eingabe!$D$8,D47)</f>
        <v>38000</v>
      </c>
      <c r="E48" s="173">
        <f>IF(C48&lt;eingabe!$D$7,E47+eingabe!$D$6,E47+eingabe!$D$10)</f>
        <v>190500</v>
      </c>
      <c r="F48" s="174">
        <f>IF(C48&lt;eingabe!$D$7,F47+(eingabe!$D$6*$A48),F47+(eingabe!$D$10*$A48))</f>
        <v>455589.10946858785</v>
      </c>
      <c r="G48" s="16">
        <f>IF(OR($C48=eingabe!D$27,$C48=2*eingabe!D$27,$C48=3*eingabe!D$27,$C48=4*eingabe!D$27,$C48=5*eingabe!D$27,),mathe!G47-eingabe!D$28+eingabe!D$24,mathe!G47)</f>
        <v>147200</v>
      </c>
      <c r="H48" s="180">
        <f t="shared" si="12"/>
        <v>164000</v>
      </c>
      <c r="I48" s="181">
        <f t="shared" si="9"/>
        <v>399306.14530541154</v>
      </c>
      <c r="J48" s="18">
        <f>IF(OR($C48=eingabe!F$27,$C48=2*eingabe!F$27,$C48=3*eingabe!F$27,$C48=4*eingabe!F$27,$C48=5*eingabe!F$27,),mathe!J47-eingabe!F$28+eingabe!F$24,mathe!J47)</f>
        <v>100000</v>
      </c>
      <c r="K48" s="188">
        <f t="shared" si="13"/>
        <v>151700</v>
      </c>
      <c r="L48" s="189">
        <f t="shared" si="10"/>
        <v>369358.18440750556</v>
      </c>
      <c r="M48" s="20">
        <f>IF(OR($C48=eingabe!H$27,$C48=2*eingabe!H$27,$C48=3*eingabe!H$27,$C48=4*eingabe!H$27,$C48=5*eingabe!H$27,),mathe!M47-eingabe!H$28+eingabe!H$24,mathe!M47)</f>
        <v>193600</v>
      </c>
      <c r="N48" s="194">
        <f t="shared" si="14"/>
        <v>213200</v>
      </c>
      <c r="O48" s="131">
        <f t="shared" si="11"/>
        <v>519097.98889703496</v>
      </c>
      <c r="R48" s="12">
        <v>40</v>
      </c>
      <c r="S48" s="48">
        <f t="shared" si="3"/>
        <v>493589.10946858785</v>
      </c>
      <c r="T48" s="49">
        <f t="shared" si="4"/>
        <v>546506.14530541154</v>
      </c>
      <c r="U48" s="50">
        <f t="shared" si="5"/>
        <v>469358.18440750556</v>
      </c>
      <c r="V48" s="59">
        <f t="shared" si="6"/>
        <v>712697.9888970349</v>
      </c>
      <c r="W48" s="63">
        <f t="shared" si="7"/>
        <v>712697.9888970349</v>
      </c>
    </row>
    <row r="49" spans="1:23" x14ac:dyDescent="0.25">
      <c r="A49" s="1">
        <f t="shared" si="8"/>
        <v>4.9930614530541142</v>
      </c>
      <c r="C49" s="12">
        <v>41</v>
      </c>
      <c r="D49" s="14">
        <f>IF(OR(C49=eingabe!$D$7+eingabe!$D$11*5,C49=eingabe!$D$7+eingabe!$D$11*4,C49=eingabe!$D$7+eingabe!$D$11*3,C49=eingabe!$D$7+eingabe!$D$11*2,C49=eingabe!$D$7+eingabe!$D$11*1,C49=eingabe!$D$7),D48+eingabe!$D$9-eingabe!$D$8,D48)</f>
        <v>38000</v>
      </c>
      <c r="E49" s="173">
        <f>IF(C49&lt;eingabe!$D$7,E48+eingabe!$D$6,E48+eingabe!$D$10)</f>
        <v>195000</v>
      </c>
      <c r="F49" s="174">
        <f>IF(C49&lt;eingabe!$D$7,F48+(eingabe!$D$6*$A49),F48+(eingabe!$D$10*$A49))</f>
        <v>478057.88600733137</v>
      </c>
      <c r="G49" s="16">
        <f>IF(OR($C49=eingabe!D$27,$C49=2*eingabe!D$27,$C49=3*eingabe!D$27,$C49=4*eingabe!D$27,$C49=5*eingabe!D$27,),mathe!G48-eingabe!D$28+eingabe!D$24,mathe!G48)</f>
        <v>147200</v>
      </c>
      <c r="H49" s="180">
        <f t="shared" si="12"/>
        <v>168000</v>
      </c>
      <c r="I49" s="181">
        <f t="shared" si="9"/>
        <v>419278.39111762802</v>
      </c>
      <c r="J49" s="18">
        <f>IF(OR($C49=eingabe!F$27,$C49=2*eingabe!F$27,$C49=3*eingabe!F$27,$C49=4*eingabe!F$27,$C49=5*eingabe!F$27,),mathe!J48-eingabe!F$28+eingabe!F$24,mathe!J48)</f>
        <v>100000</v>
      </c>
      <c r="K49" s="188">
        <f t="shared" si="13"/>
        <v>155400</v>
      </c>
      <c r="L49" s="189">
        <f t="shared" si="10"/>
        <v>387832.51178380579</v>
      </c>
      <c r="M49" s="20">
        <f>IF(OR($C49=eingabe!H$27,$C49=2*eingabe!H$27,$C49=3*eingabe!H$27,$C49=4*eingabe!H$27,$C49=5*eingabe!H$27,),mathe!M48-eingabe!H$28+eingabe!H$24,mathe!M48)</f>
        <v>193600</v>
      </c>
      <c r="N49" s="194">
        <f t="shared" si="14"/>
        <v>218400</v>
      </c>
      <c r="O49" s="131">
        <f t="shared" si="11"/>
        <v>545061.90845291631</v>
      </c>
      <c r="R49" s="12">
        <v>41</v>
      </c>
      <c r="S49" s="48">
        <f t="shared" si="3"/>
        <v>516057.88600733137</v>
      </c>
      <c r="T49" s="49">
        <f t="shared" si="4"/>
        <v>566478.39111762797</v>
      </c>
      <c r="U49" s="50">
        <f t="shared" si="5"/>
        <v>487832.51178380579</v>
      </c>
      <c r="V49" s="59">
        <f t="shared" si="6"/>
        <v>738661.90845291631</v>
      </c>
      <c r="W49" s="63">
        <f t="shared" si="7"/>
        <v>738661.90845291631</v>
      </c>
    </row>
    <row r="50" spans="1:23" x14ac:dyDescent="0.25">
      <c r="A50" s="1">
        <f t="shared" si="8"/>
        <v>5.1927839111762788</v>
      </c>
      <c r="C50" s="12">
        <v>42</v>
      </c>
      <c r="D50" s="14">
        <f>IF(OR(C50=eingabe!$D$7+eingabe!$D$11*5,C50=eingabe!$D$7+eingabe!$D$11*4,C50=eingabe!$D$7+eingabe!$D$11*3,C50=eingabe!$D$7+eingabe!$D$11*2,C50=eingabe!$D$7+eingabe!$D$11*1,C50=eingabe!$D$7),D49+eingabe!$D$9-eingabe!$D$8,D49)</f>
        <v>38000</v>
      </c>
      <c r="E50" s="173">
        <f>IF(C50&lt;eingabe!$D$7,E49+eingabe!$D$6,E49+eingabe!$D$10)</f>
        <v>199500</v>
      </c>
      <c r="F50" s="174">
        <f>IF(C50&lt;eingabe!$D$7,F49+(eingabe!$D$6*$A50),F49+(eingabe!$D$10*$A50))</f>
        <v>501425.41360762465</v>
      </c>
      <c r="G50" s="16">
        <f>IF(OR($C50=eingabe!D$27,$C50=2*eingabe!D$27,$C50=3*eingabe!D$27,$C50=4*eingabe!D$27,$C50=5*eingabe!D$27,),mathe!G49-eingabe!D$28+eingabe!D$24,mathe!G49)</f>
        <v>147200</v>
      </c>
      <c r="H50" s="180">
        <f t="shared" si="12"/>
        <v>172000</v>
      </c>
      <c r="I50" s="181">
        <f t="shared" si="9"/>
        <v>440049.52676233312</v>
      </c>
      <c r="J50" s="18">
        <f>IF(OR($C50=eingabe!F$27,$C50=2*eingabe!F$27,$C50=3*eingabe!F$27,$C50=4*eingabe!F$27,$C50=5*eingabe!F$27,),mathe!J49-eingabe!F$28+eingabe!F$24,mathe!J49)</f>
        <v>100000</v>
      </c>
      <c r="K50" s="188">
        <f t="shared" si="13"/>
        <v>159100</v>
      </c>
      <c r="L50" s="189">
        <f t="shared" si="10"/>
        <v>407045.81225515803</v>
      </c>
      <c r="M50" s="20">
        <f>IF(OR($C50=eingabe!H$27,$C50=2*eingabe!H$27,$C50=3*eingabe!H$27,$C50=4*eingabe!H$27,$C50=5*eingabe!H$27,),mathe!M49-eingabe!H$28+eingabe!H$24,mathe!M49)</f>
        <v>193600</v>
      </c>
      <c r="N50" s="194">
        <f t="shared" si="14"/>
        <v>223600</v>
      </c>
      <c r="O50" s="131">
        <f t="shared" si="11"/>
        <v>572064.38479103299</v>
      </c>
      <c r="R50" s="12">
        <v>42</v>
      </c>
      <c r="S50" s="48">
        <f t="shared" si="3"/>
        <v>539425.41360762459</v>
      </c>
      <c r="T50" s="49">
        <f t="shared" si="4"/>
        <v>587249.52676233312</v>
      </c>
      <c r="U50" s="50">
        <f t="shared" si="5"/>
        <v>507045.81225515803</v>
      </c>
      <c r="V50" s="59">
        <f t="shared" si="6"/>
        <v>765664.38479103299</v>
      </c>
      <c r="W50" s="63">
        <f t="shared" si="7"/>
        <v>765664.38479103299</v>
      </c>
    </row>
    <row r="51" spans="1:23" x14ac:dyDescent="0.25">
      <c r="A51" s="1">
        <f t="shared" si="8"/>
        <v>5.40049526762333</v>
      </c>
      <c r="C51" s="12">
        <v>43</v>
      </c>
      <c r="D51" s="14">
        <f>IF(OR(C51=eingabe!$D$7+eingabe!$D$11*5,C51=eingabe!$D$7+eingabe!$D$11*4,C51=eingabe!$D$7+eingabe!$D$11*3,C51=eingabe!$D$7+eingabe!$D$11*2,C51=eingabe!$D$7+eingabe!$D$11*1,C51=eingabe!$D$7),D50+eingabe!$D$9-eingabe!$D$8,D50)</f>
        <v>38000</v>
      </c>
      <c r="E51" s="173">
        <f>IF(C51&lt;eingabe!$D$7,E50+eingabe!$D$6,E50+eingabe!$D$10)</f>
        <v>204000</v>
      </c>
      <c r="F51" s="174">
        <f>IF(C51&lt;eingabe!$D$7,F50+(eingabe!$D$6*$A51),F50+(eingabe!$D$10*$A51))</f>
        <v>525727.64231192961</v>
      </c>
      <c r="G51" s="16">
        <f>IF(OR($C51=eingabe!D$27,$C51=2*eingabe!D$27,$C51=3*eingabe!D$27,$C51=4*eingabe!D$27,$C51=5*eingabe!D$27,),mathe!G50-eingabe!D$28+eingabe!D$24,mathe!G50)</f>
        <v>147200</v>
      </c>
      <c r="H51" s="180">
        <f t="shared" si="12"/>
        <v>176000</v>
      </c>
      <c r="I51" s="181">
        <f t="shared" si="9"/>
        <v>461651.50783282646</v>
      </c>
      <c r="J51" s="18">
        <f>IF(OR($C51=eingabe!F$27,$C51=2*eingabe!F$27,$C51=3*eingabe!F$27,$C51=4*eingabe!F$27,$C51=5*eingabe!F$27,),mathe!J50-eingabe!F$28+eingabe!F$24,mathe!J50)</f>
        <v>100000</v>
      </c>
      <c r="K51" s="188">
        <f t="shared" si="13"/>
        <v>162800</v>
      </c>
      <c r="L51" s="189">
        <f t="shared" si="10"/>
        <v>427027.64474536438</v>
      </c>
      <c r="M51" s="20">
        <f>IF(OR($C51=eingabe!H$27,$C51=2*eingabe!H$27,$C51=3*eingabe!H$27,$C51=4*eingabe!H$27,$C51=5*eingabe!H$27,),mathe!M50-eingabe!H$28+eingabe!H$24,mathe!M50)</f>
        <v>193600</v>
      </c>
      <c r="N51" s="194">
        <f t="shared" si="14"/>
        <v>228800</v>
      </c>
      <c r="O51" s="131">
        <f t="shared" si="11"/>
        <v>600146.96018267435</v>
      </c>
      <c r="R51" s="12">
        <v>43</v>
      </c>
      <c r="S51" s="48">
        <f t="shared" si="3"/>
        <v>563727.64231192961</v>
      </c>
      <c r="T51" s="49">
        <f t="shared" si="4"/>
        <v>608851.50783282646</v>
      </c>
      <c r="U51" s="50">
        <f t="shared" si="5"/>
        <v>527027.64474536432</v>
      </c>
      <c r="V51" s="59">
        <f t="shared" si="6"/>
        <v>793746.96018267435</v>
      </c>
      <c r="W51" s="63">
        <f t="shared" si="7"/>
        <v>793746.96018267435</v>
      </c>
    </row>
    <row r="52" spans="1:23" x14ac:dyDescent="0.25">
      <c r="A52" s="1">
        <f t="shared" si="8"/>
        <v>5.6165150783282636</v>
      </c>
      <c r="C52" s="12">
        <v>44</v>
      </c>
      <c r="D52" s="14">
        <f>IF(OR(C52=eingabe!$D$7+eingabe!$D$11*5,C52=eingabe!$D$7+eingabe!$D$11*4,C52=eingabe!$D$7+eingabe!$D$11*3,C52=eingabe!$D$7+eingabe!$D$11*2,C52=eingabe!$D$7+eingabe!$D$11*1,C52=eingabe!$D$7),D51+eingabe!$D$9-eingabe!$D$8,D51)</f>
        <v>47500</v>
      </c>
      <c r="E52" s="173">
        <f>IF(C52&lt;eingabe!$D$7,E51+eingabe!$D$6,E51+eingabe!$D$10)</f>
        <v>208500</v>
      </c>
      <c r="F52" s="174">
        <f>IF(C52&lt;eingabe!$D$7,F51+(eingabe!$D$6*$A52),F51+(eingabe!$D$10*$A52))</f>
        <v>551001.9601644068</v>
      </c>
      <c r="G52" s="16">
        <f>IF(OR($C52=eingabe!D$27,$C52=2*eingabe!D$27,$C52=3*eingabe!D$27,$C52=4*eingabe!D$27,$C52=5*eingabe!D$27,),mathe!G51-eingabe!D$28+eingabe!D$24,mathe!G51)</f>
        <v>147200</v>
      </c>
      <c r="H52" s="180">
        <f t="shared" si="12"/>
        <v>180000</v>
      </c>
      <c r="I52" s="181">
        <f t="shared" si="9"/>
        <v>484117.5681461395</v>
      </c>
      <c r="J52" s="18">
        <f>IF(OR($C52=eingabe!F$27,$C52=2*eingabe!F$27,$C52=3*eingabe!F$27,$C52=4*eingabe!F$27,$C52=5*eingabe!F$27,),mathe!J51-eingabe!F$28+eingabe!F$24,mathe!J51)</f>
        <v>100000</v>
      </c>
      <c r="K52" s="188">
        <f t="shared" si="13"/>
        <v>166500</v>
      </c>
      <c r="L52" s="189">
        <f t="shared" si="10"/>
        <v>447808.75053517893</v>
      </c>
      <c r="M52" s="20">
        <f>IF(OR($C52=eingabe!H$27,$C52=2*eingabe!H$27,$C52=3*eingabe!H$27,$C52=4*eingabe!H$27,$C52=5*eingabe!H$27,),mathe!M51-eingabe!H$28+eingabe!H$24,mathe!M51)</f>
        <v>193600</v>
      </c>
      <c r="N52" s="194">
        <f t="shared" si="14"/>
        <v>234000</v>
      </c>
      <c r="O52" s="131">
        <f t="shared" si="11"/>
        <v>629352.83858998131</v>
      </c>
      <c r="R52" s="12">
        <v>44</v>
      </c>
      <c r="S52" s="48">
        <f t="shared" si="3"/>
        <v>598501.9601644068</v>
      </c>
      <c r="T52" s="49">
        <f t="shared" si="4"/>
        <v>631317.5681461395</v>
      </c>
      <c r="U52" s="50">
        <f t="shared" si="5"/>
        <v>547808.75053517893</v>
      </c>
      <c r="V52" s="59">
        <f t="shared" si="6"/>
        <v>822952.83858998131</v>
      </c>
      <c r="W52" s="63">
        <f t="shared" si="7"/>
        <v>822952.83858998131</v>
      </c>
    </row>
    <row r="53" spans="1:23" x14ac:dyDescent="0.25">
      <c r="A53" s="1">
        <f t="shared" si="8"/>
        <v>5.8411756814613938</v>
      </c>
      <c r="C53" s="12">
        <v>45</v>
      </c>
      <c r="D53" s="14">
        <f>IF(OR(C53=eingabe!$D$7+eingabe!$D$11*5,C53=eingabe!$D$7+eingabe!$D$11*4,C53=eingabe!$D$7+eingabe!$D$11*3,C53=eingabe!$D$7+eingabe!$D$11*2,C53=eingabe!$D$7+eingabe!$D$11*1,C53=eingabe!$D$7),D52+eingabe!$D$9-eingabe!$D$8,D52)</f>
        <v>47500</v>
      </c>
      <c r="E53" s="173">
        <f>IF(C53&lt;eingabe!$D$7,E52+eingabe!$D$6,E52+eingabe!$D$10)</f>
        <v>213000</v>
      </c>
      <c r="F53" s="174">
        <f>IF(C53&lt;eingabe!$D$7,F52+(eingabe!$D$6*$A53),F52+(eingabe!$D$10*$A53))</f>
        <v>577287.2507309831</v>
      </c>
      <c r="G53" s="16">
        <f>IF(OR($C53=eingabe!D$27,$C53=2*eingabe!D$27,$C53=3*eingabe!D$27,$C53=4*eingabe!D$27,$C53=5*eingabe!D$27,),mathe!G52-eingabe!D$28+eingabe!D$24,mathe!G52)</f>
        <v>147200</v>
      </c>
      <c r="H53" s="180">
        <f t="shared" si="12"/>
        <v>184000</v>
      </c>
      <c r="I53" s="181">
        <f t="shared" si="9"/>
        <v>507482.27087198506</v>
      </c>
      <c r="J53" s="18">
        <f>IF(OR($C53=eingabe!F$27,$C53=2*eingabe!F$27,$C53=3*eingabe!F$27,$C53=4*eingabe!F$27,$C53=5*eingabe!F$27,),mathe!J52-eingabe!F$28+eingabe!F$24,mathe!J52)</f>
        <v>100000</v>
      </c>
      <c r="K53" s="188">
        <f t="shared" si="13"/>
        <v>170200</v>
      </c>
      <c r="L53" s="189">
        <f t="shared" si="10"/>
        <v>469421.10055658611</v>
      </c>
      <c r="M53" s="20">
        <f>IF(OR($C53=eingabe!H$27,$C53=2*eingabe!H$27,$C53=3*eingabe!H$27,$C53=4*eingabe!H$27,$C53=5*eingabe!H$27,),mathe!M52-eingabe!H$28+eingabe!H$24,mathe!M52)</f>
        <v>193600</v>
      </c>
      <c r="N53" s="194">
        <f t="shared" si="14"/>
        <v>239200</v>
      </c>
      <c r="O53" s="131">
        <f t="shared" si="11"/>
        <v>659726.95213358058</v>
      </c>
      <c r="R53" s="12">
        <v>45</v>
      </c>
      <c r="S53" s="48">
        <f t="shared" si="3"/>
        <v>624787.2507309831</v>
      </c>
      <c r="T53" s="49">
        <f t="shared" si="4"/>
        <v>654682.27087198501</v>
      </c>
      <c r="U53" s="50">
        <f t="shared" si="5"/>
        <v>569421.10055658617</v>
      </c>
      <c r="V53" s="59">
        <f t="shared" si="6"/>
        <v>853326.95213358058</v>
      </c>
      <c r="W53" s="63">
        <f t="shared" si="7"/>
        <v>853326.95213358058</v>
      </c>
    </row>
    <row r="54" spans="1:23" x14ac:dyDescent="0.25">
      <c r="A54" s="1">
        <f t="shared" si="8"/>
        <v>6.0748227087198492</v>
      </c>
      <c r="C54" s="12">
        <v>46</v>
      </c>
      <c r="D54" s="14">
        <f>IF(OR(C54=eingabe!$D$7+eingabe!$D$11*5,C54=eingabe!$D$7+eingabe!$D$11*4,C54=eingabe!$D$7+eingabe!$D$11*3,C54=eingabe!$D$7+eingabe!$D$11*2,C54=eingabe!$D$7+eingabe!$D$11*1,C54=eingabe!$D$7),D53+eingabe!$D$9-eingabe!$D$8,D53)</f>
        <v>47500</v>
      </c>
      <c r="E54" s="173">
        <f>IF(C54&lt;eingabe!$D$7,E53+eingabe!$D$6,E53+eingabe!$D$10)</f>
        <v>217500</v>
      </c>
      <c r="F54" s="174">
        <f>IF(C54&lt;eingabe!$D$7,F53+(eingabe!$D$6*$A54),F53+(eingabe!$D$10*$A54))</f>
        <v>604623.95292022242</v>
      </c>
      <c r="G54" s="16">
        <f>IF(OR($C54=eingabe!D$27,$C54=2*eingabe!D$27,$C54=3*eingabe!D$27,$C54=4*eingabe!D$27,$C54=5*eingabe!D$27,),mathe!G53-eingabe!D$28+eingabe!D$24,mathe!G53)</f>
        <v>147200</v>
      </c>
      <c r="H54" s="180">
        <f t="shared" si="12"/>
        <v>188000</v>
      </c>
      <c r="I54" s="181">
        <f t="shared" si="9"/>
        <v>531781.56170686451</v>
      </c>
      <c r="J54" s="18">
        <f>IF(OR($C54=eingabe!F$27,$C54=2*eingabe!F$27,$C54=3*eingabe!F$27,$C54=4*eingabe!F$27,$C54=5*eingabe!F$27,),mathe!J53-eingabe!F$28+eingabe!F$24,mathe!J53)</f>
        <v>100000</v>
      </c>
      <c r="K54" s="188">
        <f t="shared" si="13"/>
        <v>173900</v>
      </c>
      <c r="L54" s="189">
        <f t="shared" si="10"/>
        <v>491897.94457884954</v>
      </c>
      <c r="M54" s="20">
        <f>IF(OR($C54=eingabe!H$27,$C54=2*eingabe!H$27,$C54=3*eingabe!H$27,$C54=4*eingabe!H$27,$C54=5*eingabe!H$27,),mathe!M53-eingabe!H$28+eingabe!H$24,mathe!M53)</f>
        <v>193600</v>
      </c>
      <c r="N54" s="194">
        <f t="shared" si="14"/>
        <v>244400</v>
      </c>
      <c r="O54" s="131">
        <f t="shared" si="11"/>
        <v>691316.03021892381</v>
      </c>
      <c r="R54" s="12">
        <v>46</v>
      </c>
      <c r="S54" s="48">
        <f t="shared" si="3"/>
        <v>652123.95292022242</v>
      </c>
      <c r="T54" s="49">
        <f t="shared" si="4"/>
        <v>678981.56170686451</v>
      </c>
      <c r="U54" s="50">
        <f t="shared" si="5"/>
        <v>591897.94457884948</v>
      </c>
      <c r="V54" s="59">
        <f t="shared" si="6"/>
        <v>884916.03021892381</v>
      </c>
      <c r="W54" s="63">
        <f t="shared" si="7"/>
        <v>884916.03021892381</v>
      </c>
    </row>
    <row r="55" spans="1:23" x14ac:dyDescent="0.25">
      <c r="A55" s="1">
        <f t="shared" si="8"/>
        <v>6.3178156170686428</v>
      </c>
      <c r="C55" s="12">
        <v>47</v>
      </c>
      <c r="D55" s="14">
        <f>IF(OR(C55=eingabe!$D$7+eingabe!$D$11*5,C55=eingabe!$D$7+eingabe!$D$11*4,C55=eingabe!$D$7+eingabe!$D$11*3,C55=eingabe!$D$7+eingabe!$D$11*2,C55=eingabe!$D$7+eingabe!$D$11*1,C55=eingabe!$D$7),D54+eingabe!$D$9-eingabe!$D$8,D54)</f>
        <v>47500</v>
      </c>
      <c r="E55" s="173">
        <f>IF(C55&lt;eingabe!$D$7,E54+eingabe!$D$6,E54+eingabe!$D$10)</f>
        <v>222000</v>
      </c>
      <c r="F55" s="174">
        <f>IF(C55&lt;eingabe!$D$7,F54+(eingabe!$D$6*$A55),F54+(eingabe!$D$10*$A55))</f>
        <v>633054.12319703132</v>
      </c>
      <c r="G55" s="16">
        <f>IF(OR($C55=eingabe!D$27,$C55=2*eingabe!D$27,$C55=3*eingabe!D$27,$C55=4*eingabe!D$27,$C55=5*eingabe!D$27,),mathe!G54-eingabe!D$28+eingabe!D$24,mathe!G54)</f>
        <v>147200</v>
      </c>
      <c r="H55" s="180">
        <f t="shared" si="12"/>
        <v>192000</v>
      </c>
      <c r="I55" s="181">
        <f t="shared" si="9"/>
        <v>557052.82417513907</v>
      </c>
      <c r="J55" s="18">
        <f>IF(OR($C55=eingabe!F$27,$C55=2*eingabe!F$27,$C55=3*eingabe!F$27,$C55=4*eingabe!F$27,$C55=5*eingabe!F$27,),mathe!J54-eingabe!F$28+eingabe!F$24,mathe!J54)</f>
        <v>100000</v>
      </c>
      <c r="K55" s="188">
        <f t="shared" si="13"/>
        <v>177600</v>
      </c>
      <c r="L55" s="189">
        <f t="shared" si="10"/>
        <v>515273.86236200354</v>
      </c>
      <c r="M55" s="20">
        <f>IF(OR($C55=eingabe!H$27,$C55=2*eingabe!H$27,$C55=3*eingabe!H$27,$C55=4*eingabe!H$27,$C55=5*eingabe!H$27,),mathe!M54-eingabe!H$28+eingabe!H$24,mathe!M54)</f>
        <v>193600</v>
      </c>
      <c r="N55" s="194">
        <f t="shared" si="14"/>
        <v>249600</v>
      </c>
      <c r="O55" s="131">
        <f t="shared" si="11"/>
        <v>724168.67142768076</v>
      </c>
      <c r="R55" s="12">
        <v>47</v>
      </c>
      <c r="S55" s="48">
        <f t="shared" si="3"/>
        <v>680554.12319703132</v>
      </c>
      <c r="T55" s="49">
        <f t="shared" si="4"/>
        <v>704252.82417513907</v>
      </c>
      <c r="U55" s="50">
        <f t="shared" si="5"/>
        <v>615273.86236200354</v>
      </c>
      <c r="V55" s="59">
        <f t="shared" si="6"/>
        <v>917768.67142768076</v>
      </c>
      <c r="W55" s="63">
        <f t="shared" si="7"/>
        <v>917768.67142768076</v>
      </c>
    </row>
    <row r="56" spans="1:23" x14ac:dyDescent="0.25">
      <c r="A56" s="1">
        <f t="shared" si="8"/>
        <v>6.5705282417513882</v>
      </c>
      <c r="C56" s="12">
        <v>48</v>
      </c>
      <c r="D56" s="14">
        <f>IF(OR(C56=eingabe!$D$7+eingabe!$D$11*5,C56=eingabe!$D$7+eingabe!$D$11*4,C56=eingabe!$D$7+eingabe!$D$11*3,C56=eingabe!$D$7+eingabe!$D$11*2,C56=eingabe!$D$7+eingabe!$D$11*1,C56=eingabe!$D$7),D55+eingabe!$D$9-eingabe!$D$8,D55)</f>
        <v>47500</v>
      </c>
      <c r="E56" s="173">
        <f>IF(C56&lt;eingabe!$D$7,E55+eingabe!$D$6,E55+eingabe!$D$10)</f>
        <v>226500</v>
      </c>
      <c r="F56" s="174">
        <f>IF(C56&lt;eingabe!$D$7,F55+(eingabe!$D$6*$A56),F55+(eingabe!$D$10*$A56))</f>
        <v>662621.50028491253</v>
      </c>
      <c r="G56" s="16">
        <f>IF(OR($C56=eingabe!D$27,$C56=2*eingabe!D$27,$C56=3*eingabe!D$27,$C56=4*eingabe!D$27,$C56=5*eingabe!D$27,),mathe!G55-eingabe!D$28+eingabe!D$24,mathe!G55)</f>
        <v>147200</v>
      </c>
      <c r="H56" s="180">
        <f t="shared" si="12"/>
        <v>196000</v>
      </c>
      <c r="I56" s="181">
        <f t="shared" si="9"/>
        <v>583334.93714214466</v>
      </c>
      <c r="J56" s="18">
        <f>IF(OR($C56=eingabe!F$27,$C56=2*eingabe!F$27,$C56=3*eingabe!F$27,$C56=4*eingabe!F$27,$C56=5*eingabe!F$27,),mathe!J55-eingabe!F$28+eingabe!F$24,mathe!J55)</f>
        <v>100000</v>
      </c>
      <c r="K56" s="188">
        <f t="shared" si="13"/>
        <v>181300</v>
      </c>
      <c r="L56" s="189">
        <f t="shared" si="10"/>
        <v>539584.8168564837</v>
      </c>
      <c r="M56" s="20">
        <f>IF(OR($C56=eingabe!H$27,$C56=2*eingabe!H$27,$C56=3*eingabe!H$27,$C56=4*eingabe!H$27,$C56=5*eingabe!H$27,),mathe!M55-eingabe!H$28+eingabe!H$24,mathe!M55)</f>
        <v>193600</v>
      </c>
      <c r="N56" s="194">
        <f t="shared" si="14"/>
        <v>254800</v>
      </c>
      <c r="O56" s="131">
        <f t="shared" si="11"/>
        <v>758335.41828478803</v>
      </c>
      <c r="R56" s="12">
        <v>48</v>
      </c>
      <c r="S56" s="48">
        <f t="shared" si="3"/>
        <v>710121.50028491253</v>
      </c>
      <c r="T56" s="49">
        <f t="shared" si="4"/>
        <v>730534.93714214466</v>
      </c>
      <c r="U56" s="50">
        <f t="shared" si="5"/>
        <v>639584.8168564837</v>
      </c>
      <c r="V56" s="59">
        <f t="shared" si="6"/>
        <v>951935.41828478803</v>
      </c>
      <c r="W56" s="63">
        <f t="shared" si="7"/>
        <v>951935.41828478803</v>
      </c>
    </row>
    <row r="57" spans="1:23" x14ac:dyDescent="0.25">
      <c r="A57" s="1">
        <f t="shared" si="8"/>
        <v>6.8333493714214439</v>
      </c>
      <c r="C57" s="12">
        <v>49</v>
      </c>
      <c r="D57" s="14">
        <f>IF(OR(C57=eingabe!$D$7+eingabe!$D$11*5,C57=eingabe!$D$7+eingabe!$D$11*4,C57=eingabe!$D$7+eingabe!$D$11*3,C57=eingabe!$D$7+eingabe!$D$11*2,C57=eingabe!$D$7+eingabe!$D$11*1,C57=eingabe!$D$7),D56+eingabe!$D$9-eingabe!$D$8,D56)</f>
        <v>47500</v>
      </c>
      <c r="E57" s="173">
        <f>IF(C57&lt;eingabe!$D$7,E56+eingabe!$D$6,E56+eingabe!$D$10)</f>
        <v>231000</v>
      </c>
      <c r="F57" s="174">
        <f>IF(C57&lt;eingabe!$D$7,F56+(eingabe!$D$6*$A57),F56+(eingabe!$D$10*$A57))</f>
        <v>693371.57245630899</v>
      </c>
      <c r="G57" s="16">
        <f>IF(OR($C57=eingabe!D$27,$C57=2*eingabe!D$27,$C57=3*eingabe!D$27,$C57=4*eingabe!D$27,$C57=5*eingabe!D$27,),mathe!G56-eingabe!D$28+eingabe!D$24,mathe!G56)</f>
        <v>147200</v>
      </c>
      <c r="H57" s="180">
        <f t="shared" si="12"/>
        <v>200000</v>
      </c>
      <c r="I57" s="181">
        <f t="shared" si="9"/>
        <v>610668.33462783042</v>
      </c>
      <c r="J57" s="18">
        <f>IF(OR($C57=eingabe!F$27,$C57=2*eingabe!F$27,$C57=3*eingabe!F$27,$C57=4*eingabe!F$27,$C57=5*eingabe!F$27,),mathe!J56-eingabe!F$28+eingabe!F$24,mathe!J56)</f>
        <v>100000</v>
      </c>
      <c r="K57" s="188">
        <f t="shared" si="13"/>
        <v>185000</v>
      </c>
      <c r="L57" s="189">
        <f t="shared" si="10"/>
        <v>564868.20953074307</v>
      </c>
      <c r="M57" s="20">
        <f>IF(OR($C57=eingabe!H$27,$C57=2*eingabe!H$27,$C57=3*eingabe!H$27,$C57=4*eingabe!H$27,$C57=5*eingabe!H$27,),mathe!M56-eingabe!H$28+eingabe!H$24,mathe!M56)</f>
        <v>193600</v>
      </c>
      <c r="N57" s="194">
        <f t="shared" si="14"/>
        <v>260000</v>
      </c>
      <c r="O57" s="131">
        <f t="shared" si="11"/>
        <v>793868.8350161796</v>
      </c>
      <c r="R57" s="12">
        <v>49</v>
      </c>
      <c r="S57" s="48">
        <f t="shared" si="3"/>
        <v>740871.57245630899</v>
      </c>
      <c r="T57" s="49">
        <f t="shared" si="4"/>
        <v>757868.33462783042</v>
      </c>
      <c r="U57" s="50">
        <f t="shared" si="5"/>
        <v>664868.20953074307</v>
      </c>
      <c r="V57" s="59">
        <f t="shared" si="6"/>
        <v>987468.8350161796</v>
      </c>
      <c r="W57" s="63">
        <f t="shared" si="7"/>
        <v>987468.8350161796</v>
      </c>
    </row>
    <row r="58" spans="1:23" x14ac:dyDescent="0.25">
      <c r="A58" s="1">
        <f t="shared" si="8"/>
        <v>7.1066833462783014</v>
      </c>
      <c r="C58" s="13">
        <v>50</v>
      </c>
      <c r="D58" s="15">
        <f>IF(OR(C58=eingabe!$D$7+eingabe!$D$11*5,C58=eingabe!$D$7+eingabe!$D$11*4,C58=eingabe!$D$7+eingabe!$D$11*3,C58=eingabe!$D$7+eingabe!$D$11*2,C58=eingabe!$D$7+eingabe!$D$11*1,C58=eingabe!$D$7),D57+eingabe!$D$9-eingabe!$D$8,D57)</f>
        <v>47500</v>
      </c>
      <c r="E58" s="175">
        <f>IF(C58&lt;eingabe!$D$7,E57+eingabe!$D$6,E57+eingabe!$D$10)</f>
        <v>235500</v>
      </c>
      <c r="F58" s="174">
        <f>IF(C58&lt;eingabe!$D$7,F57+(eingabe!$D$6*$A58),F57+(eingabe!$D$10*$A58))</f>
        <v>725351.64751456131</v>
      </c>
      <c r="G58" s="17">
        <f>IF(OR($C58=eingabe!D$27,$C58=2*eingabe!D$27,$C58=3*eingabe!D$27,$C58=4*eingabe!D$27,$C58=5*eingabe!D$27,),mathe!G57-eingabe!D$28+eingabe!D$24,mathe!G57)</f>
        <v>176000</v>
      </c>
      <c r="H58" s="182">
        <f t="shared" si="12"/>
        <v>204000</v>
      </c>
      <c r="I58" s="183">
        <f t="shared" si="9"/>
        <v>639095.06801294361</v>
      </c>
      <c r="J58" s="19">
        <f>IF(OR($C58=eingabe!F$27,$C58=2*eingabe!F$27,$C58=3*eingabe!F$27,$C58=4*eingabe!F$27,$C58=5*eingabe!F$27,),mathe!J57-eingabe!F$28+eingabe!F$24,mathe!J57)</f>
        <v>119500</v>
      </c>
      <c r="K58" s="190">
        <f t="shared" si="13"/>
        <v>188700</v>
      </c>
      <c r="L58" s="191">
        <f t="shared" si="10"/>
        <v>591162.93791197275</v>
      </c>
      <c r="M58" s="21">
        <f>IF(OR($C58=eingabe!H$27,$C58=2*eingabe!H$27,$C58=3*eingabe!H$27,$C58=4*eingabe!H$27,$C58=5*eingabe!H$27,),mathe!M57-eingabe!H$28+eingabe!H$24,mathe!M57)</f>
        <v>231500</v>
      </c>
      <c r="N58" s="195">
        <f t="shared" si="14"/>
        <v>265200</v>
      </c>
      <c r="O58" s="132">
        <f t="shared" si="11"/>
        <v>830823.58841682679</v>
      </c>
      <c r="R58" s="13">
        <v>50</v>
      </c>
      <c r="S58" s="51">
        <f t="shared" si="3"/>
        <v>772851.64751456131</v>
      </c>
      <c r="T58" s="52">
        <f t="shared" si="4"/>
        <v>815095.06801294361</v>
      </c>
      <c r="U58" s="53">
        <f t="shared" si="5"/>
        <v>710662.93791197275</v>
      </c>
      <c r="V58" s="60">
        <f t="shared" si="6"/>
        <v>1062323.5884168269</v>
      </c>
      <c r="W58" s="63">
        <f t="shared" si="7"/>
        <v>1062323.5884168269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eingabe</vt:lpstr>
      <vt:lpstr>mathe</vt:lpstr>
      <vt:lpstr>eingabe!Druckbereich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2022-03-02T11:01:28Z</dcterms:modified>
</cp:coreProperties>
</file>